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sikt" sheetId="1" state="visible" r:id="rId3"/>
    <sheet name="Forutsetninger" sheetId="2" state="visible" r:id="rId4"/>
    <sheet name="Krav" sheetId="3" state="visible" r:id="rId5"/>
    <sheet name="Konsekvenser" sheetId="4" state="visible" r:id="rId6"/>
    <sheet name="Muligheter" sheetId="5" state="visible" r:id="rId7"/>
    <sheet name="Sensitivitet" sheetId="6" state="visible" r:id="rId8"/>
    <sheet name="Strømpris" sheetId="7" state="visible" r:id="rId9"/>
    <sheet name="Kilder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<sst xmlns="http://schemas.openxmlformats.org/spreadsheetml/2006/main" count="535" uniqueCount="365">
  <si>
    <t xml:space="preserve">100 NYE 50 MW-DATASENTRE I TILLEGG TIL DAGENS 112 – MULIGHETER, KONSEKVENSER OG KRAV</t>
  </si>
  <si>
    <t xml:space="preserve">Nøkkeltall. Endre input i arket Forutsetninger.</t>
  </si>
  <si>
    <t xml:space="preserve">Nøkkeltall</t>
  </si>
  <si>
    <t xml:space="preserve">Verdi</t>
  </si>
  <si>
    <t xml:space="preserve">Enhet</t>
  </si>
  <si>
    <t xml:space="preserve">Se ark</t>
  </si>
  <si>
    <t xml:space="preserve">HVA KREVES</t>
  </si>
  <si>
    <t xml:space="preserve">Ny tilknytningseffekt</t>
  </si>
  <si>
    <t xml:space="preserve">MW</t>
  </si>
  <si>
    <t xml:space="preserve">Krav</t>
  </si>
  <si>
    <t xml:space="preserve">Nytt strømforbruk</t>
  </si>
  <si>
    <t xml:space="preserve">TWh/år</t>
  </si>
  <si>
    <t xml:space="preserve">Tomteareal</t>
  </si>
  <si>
    <t xml:space="preserve">mål</t>
  </si>
  <si>
    <t xml:space="preserve">Sum investering</t>
  </si>
  <si>
    <t xml:space="preserve">mrd NOK</t>
  </si>
  <si>
    <t xml:space="preserve">Dieselreserve</t>
  </si>
  <si>
    <t xml:space="preserve">Tid til drift (trafo/bygg)</t>
  </si>
  <si>
    <t xml:space="preserve">år</t>
  </si>
  <si>
    <t xml:space="preserve">KONSEKVENSER</t>
  </si>
  <si>
    <t xml:space="preserve">Kraftbalanse etter utbygging</t>
  </si>
  <si>
    <t xml:space="preserve">Konsekvenser</t>
  </si>
  <si>
    <t xml:space="preserve">Ny produksjon som kreves</t>
  </si>
  <si>
    <t xml:space="preserve">… tilsvarer gasskraftverk (Kårstø)</t>
  </si>
  <si>
    <t xml:space="preserve">stk</t>
  </si>
  <si>
    <t xml:space="preserve">… CO₂ fra gasskraft</t>
  </si>
  <si>
    <t xml:space="preserve">Mt/år</t>
  </si>
  <si>
    <t xml:space="preserve">Underskudd som ikke dekkes av import</t>
  </si>
  <si>
    <t xml:space="preserve">Andel av norsk forbruk</t>
  </si>
  <si>
    <t xml:space="preserve">andel</t>
  </si>
  <si>
    <t xml:space="preserve">Andel av norsk topplast</t>
  </si>
  <si>
    <t xml:space="preserve">Datasenterforbruk totalt etter utbygging</t>
  </si>
  <si>
    <t xml:space="preserve">Sentre «til eksport»</t>
  </si>
  <si>
    <t xml:space="preserve">Prisøkning strøm – lavt anslag</t>
  </si>
  <si>
    <t xml:space="preserve">øre/kWh</t>
  </si>
  <si>
    <t xml:space="preserve">Strømpris</t>
  </si>
  <si>
    <t xml:space="preserve">Prisøkning strøm – høyt anslag</t>
  </si>
  <si>
    <t xml:space="preserve">Husholdning – merkostnad (høyt)</t>
  </si>
  <si>
    <t xml:space="preserve">NOK/år</t>
  </si>
  <si>
    <t xml:space="preserve">Hele Norge – merkostnad (høyt)</t>
  </si>
  <si>
    <t xml:space="preserve">mrd NOK/år</t>
  </si>
  <si>
    <t xml:space="preserve">MULIGHETER</t>
  </si>
  <si>
    <t xml:space="preserve">Driftsarbeidsplasser</t>
  </si>
  <si>
    <t xml:space="preserve">årsverk</t>
  </si>
  <si>
    <t xml:space="preserve">Muligheter</t>
  </si>
  <si>
    <t xml:space="preserve">Byggearbeidsplasser (midlertidig)</t>
  </si>
  <si>
    <t xml:space="preserve">Eiendomsskatt til kommunene</t>
  </si>
  <si>
    <t xml:space="preserve">MNOK/år</t>
  </si>
  <si>
    <t xml:space="preserve">Lønnsmasse</t>
  </si>
  <si>
    <t xml:space="preserve">Gjenvinnbar overskuddsvarme</t>
  </si>
  <si>
    <t xml:space="preserve">GWh/år</t>
  </si>
  <si>
    <t xml:space="preserve">HOVEDBUDSKAP</t>
  </si>
  <si>
    <t xml:space="preserve">FORUTSETNINGER – 100 NYE 50 MW-DATASENTRE I TILLEGG TIL DAGENS 112</t>
  </si>
  <si>
    <t xml:space="preserve">Blå tall på gul bakgrunn er input. Alle andre ark regner automatisk fra disse cellene.</t>
  </si>
  <si>
    <t xml:space="preserve">Parameter</t>
  </si>
  <si>
    <t xml:space="preserve">Merknad / kilde</t>
  </si>
  <si>
    <t xml:space="preserve">DAGENS SITUASJON</t>
  </si>
  <si>
    <t xml:space="preserve">Registrerte datasentre i Norge</t>
  </si>
  <si>
    <t xml:space="preserve">Nkom, per 31.08.2026</t>
  </si>
  <si>
    <t xml:space="preserve">Faktisk strømforbruk datasentre 2025</t>
  </si>
  <si>
    <t xml:space="preserve">NVE, publisert 22.06.2026</t>
  </si>
  <si>
    <t xml:space="preserve">Norsk kraftproduksjon normalår</t>
  </si>
  <si>
    <t xml:space="preserve">Ca.-verdi NVE/SSB – juster ved behov</t>
  </si>
  <si>
    <t xml:space="preserve">Norsk kraftforbruk (alle sektorer)</t>
  </si>
  <si>
    <t xml:space="preserve">Norsk maksimallast (topplast vinter)</t>
  </si>
  <si>
    <t xml:space="preserve">Ca.-verdi Statnett – juster ved behov</t>
  </si>
  <si>
    <t xml:space="preserve">NYTT SCENARIO</t>
  </si>
  <si>
    <t xml:space="preserve">Nye datasentre</t>
  </si>
  <si>
    <t xml:space="preserve">Scenario</t>
  </si>
  <si>
    <t xml:space="preserve">Effekt per nytt senter</t>
  </si>
  <si>
    <t xml:space="preserve">Filipstad-eksempel (TK 31.08.2026)</t>
  </si>
  <si>
    <t xml:space="preserve">Brukstid</t>
  </si>
  <si>
    <t xml:space="preserve">NVE: 70 % i full drift</t>
  </si>
  <si>
    <t xml:space="preserve">Timer per år</t>
  </si>
  <si>
    <t xml:space="preserve">timer</t>
  </si>
  <si>
    <t xml:space="preserve">Konstant</t>
  </si>
  <si>
    <t xml:space="preserve">Norges modellbehov – antall 50 MW-sentre</t>
  </si>
  <si>
    <t xml:space="preserve">Vår behovskalkyle (plakat). NB: 4 × 50 MW = 1,2 TWh er lavere enn dagens faktiske 3,3 TWh – vurder 8–15</t>
  </si>
  <si>
    <t xml:space="preserve">AREAL OG TOMT</t>
  </si>
  <si>
    <t xml:space="preserve">Bygningsareal per senter</t>
  </si>
  <si>
    <t xml:space="preserve">m²</t>
  </si>
  <si>
    <t xml:space="preserve">Modellantakelse (plakat)</t>
  </si>
  <si>
    <t xml:space="preserve">Tomt per senter</t>
  </si>
  <si>
    <t xml:space="preserve">Filipstad ønsker 20–200 mål</t>
  </si>
  <si>
    <t xml:space="preserve">Avstand til boligbebyggelse</t>
  </si>
  <si>
    <t xml:space="preserve">m</t>
  </si>
  <si>
    <t xml:space="preserve">Filipstad-krav (støy)</t>
  </si>
  <si>
    <t xml:space="preserve">ARBEIDSPLASSER</t>
  </si>
  <si>
    <t xml:space="preserve">Driftsansatte per senter</t>
  </si>
  <si>
    <t xml:space="preserve">Plakat: 70. Filipstad: 2 per MW = 100</t>
  </si>
  <si>
    <t xml:space="preserve">Byggearbeidsplasser per senter (årsverk i byggeperioden)</t>
  </si>
  <si>
    <t xml:space="preserve">Modellantakelse – midlertidig</t>
  </si>
  <si>
    <t xml:space="preserve">Gjennomsnittlig årslønn</t>
  </si>
  <si>
    <t xml:space="preserve">NOK</t>
  </si>
  <si>
    <t xml:space="preserve">Modellantakelse</t>
  </si>
  <si>
    <t xml:space="preserve">Ønsket boradius for ansatte</t>
  </si>
  <si>
    <t xml:space="preserve">km</t>
  </si>
  <si>
    <t xml:space="preserve">Filipstad-ønske</t>
  </si>
  <si>
    <t xml:space="preserve">INVESTERING OG NETT</t>
  </si>
  <si>
    <t xml:space="preserve">Investering per MW (bygg + teknisk)</t>
  </si>
  <si>
    <t xml:space="preserve">MNOK/MW</t>
  </si>
  <si>
    <t xml:space="preserve">Modellantakelse. Internasjonalt 8–12 MUSD/MW for AI-sentre</t>
  </si>
  <si>
    <t xml:space="preserve">Nettilknytning og trafo per senter</t>
  </si>
  <si>
    <t xml:space="preserve">MNOK</t>
  </si>
  <si>
    <t xml:space="preserve">Modellantakelse – avklares med nettselskap</t>
  </si>
  <si>
    <t xml:space="preserve">Leveringstid trafo</t>
  </si>
  <si>
    <t xml:space="preserve">Filipstad: «flere år»</t>
  </si>
  <si>
    <t xml:space="preserve">Byggetid per senter</t>
  </si>
  <si>
    <t xml:space="preserve">RESERVEKRAFT (DIESEL)</t>
  </si>
  <si>
    <t xml:space="preserve">Reservekapasitet i andel av effekt</t>
  </si>
  <si>
    <t xml:space="preserve">Filipstad: dieselaggregat for reservedrift</t>
  </si>
  <si>
    <t xml:space="preserve">Drivstofflager – timer full drift</t>
  </si>
  <si>
    <t xml:space="preserve">Strøm per liter diesel</t>
  </si>
  <si>
    <t xml:space="preserve">kWh/l</t>
  </si>
  <si>
    <t xml:space="preserve">Ca. 35 % virkningsgrad</t>
  </si>
  <si>
    <t xml:space="preserve">CO₂ per liter diesel</t>
  </si>
  <si>
    <t xml:space="preserve">kg/l</t>
  </si>
  <si>
    <t xml:space="preserve">Standard utslippsfaktor</t>
  </si>
  <si>
    <t xml:space="preserve">KOMMUNALE INNTEKTER OG VARME</t>
  </si>
  <si>
    <t xml:space="preserve">Eiendomsskattesats</t>
  </si>
  <si>
    <t xml:space="preserve">Maks 7 promille (eigedomsskattelova)</t>
  </si>
  <si>
    <t xml:space="preserve">Takstgrunnlag i andel av investering</t>
  </si>
  <si>
    <t xml:space="preserve">Modellantakelse – andel av strømforbruk som kan nyttes som varme</t>
  </si>
  <si>
    <t xml:space="preserve">Strømpris (referanse)</t>
  </si>
  <si>
    <t xml:space="preserve">NOK/kWh</t>
  </si>
  <si>
    <t xml:space="preserve">Modellantakelse – juster</t>
  </si>
  <si>
    <t xml:space="preserve">GASSKRAFT SOM ERSTATNING (KÅRSTØ-REFERANSE)</t>
  </si>
  <si>
    <t xml:space="preserve">Effekt per gasskraftverk</t>
  </si>
  <si>
    <t xml:space="preserve">Kårstø (Naturkraft) 2007–2014, revet 2017–18</t>
  </si>
  <si>
    <t xml:space="preserve">Brukstid gasskraftverk</t>
  </si>
  <si>
    <t xml:space="preserve">Grunnlast – modellantakelse</t>
  </si>
  <si>
    <t xml:space="preserve">Virkningsgrad gasskraft (CCGT)</t>
  </si>
  <si>
    <t xml:space="preserve">Moderne kombikraftverk</t>
  </si>
  <si>
    <t xml:space="preserve">CO₂ per kWh gasskraft</t>
  </si>
  <si>
    <t xml:space="preserve">kg/kWh</t>
  </si>
  <si>
    <t xml:space="preserve">Uten CO₂-fangst</t>
  </si>
  <si>
    <t xml:space="preserve">Norske klimagassutslipp totalt</t>
  </si>
  <si>
    <t xml:space="preserve">Mt CO₂e/år</t>
  </si>
  <si>
    <t xml:space="preserve">Ca.-verdi SSB 2024 – juster</t>
  </si>
  <si>
    <t xml:space="preserve">Energiinnhold naturgass</t>
  </si>
  <si>
    <t xml:space="preserve">TWh/mrd Sm³</t>
  </si>
  <si>
    <t xml:space="preserve">Ca. 10,5 kWh per Sm³</t>
  </si>
  <si>
    <t xml:space="preserve">Norsk gasseksport</t>
  </si>
  <si>
    <t xml:space="preserve">mrd Sm³/år</t>
  </si>
  <si>
    <t xml:space="preserve">Ca.-verdi – juster</t>
  </si>
  <si>
    <t xml:space="preserve">Investering per MW gasskraft</t>
  </si>
  <si>
    <t xml:space="preserve">Modellantakelse (ca. 1 MEUR/MW)</t>
  </si>
  <si>
    <t xml:space="preserve">IMPORT VIA KABLER</t>
  </si>
  <si>
    <t xml:space="preserve">Samlet importkapasitet utenlandskabler</t>
  </si>
  <si>
    <t xml:space="preserve">Ca.: Sverige, Danmark, NorNed, NordLink, NSL, Finland – juster</t>
  </si>
  <si>
    <t xml:space="preserve">Realistisk importandel av kapasitet</t>
  </si>
  <si>
    <t xml:space="preserve">Modellantakelse – kablene er ikke fulle inn hele året</t>
  </si>
  <si>
    <t xml:space="preserve">HVA KREVES FOR Å BYGGE 100 NYE 50 MW-DATASENTRE</t>
  </si>
  <si>
    <t xml:space="preserve">Per senter og totalt. Alle tall beregnes fra Forutsetninger.</t>
  </si>
  <si>
    <t xml:space="preserve">Per senter</t>
  </si>
  <si>
    <t xml:space="preserve">Totalt (100)</t>
  </si>
  <si>
    <t xml:space="preserve">Merknad</t>
  </si>
  <si>
    <t xml:space="preserve">KRAFT</t>
  </si>
  <si>
    <t xml:space="preserve">Tilknytningseffekt</t>
  </si>
  <si>
    <t xml:space="preserve">Krever 132 kV-tilknytning per senter – Statnett/regionalnett</t>
  </si>
  <si>
    <t xml:space="preserve">Årlig strømforbruk</t>
  </si>
  <si>
    <t xml:space="preserve">70 % brukstid</t>
  </si>
  <si>
    <t xml:space="preserve">Nettilknytning og trafo – kostnad</t>
  </si>
  <si>
    <t xml:space="preserve">Avklares tidlig med energiverket</t>
  </si>
  <si>
    <t xml:space="preserve">TOMT OG AREAL</t>
  </si>
  <si>
    <t xml:space="preserve">Bygningsareal</t>
  </si>
  <si>
    <t xml:space="preserve">Tomt</t>
  </si>
  <si>
    <t xml:space="preserve">Filipstad: 20–200 mål, helst nedlagt industri</t>
  </si>
  <si>
    <t xml:space="preserve">km²</t>
  </si>
  <si>
    <t xml:space="preserve">Buffersone rundt tomt (sirkel, r = 500 m)</t>
  </si>
  <si>
    <t xml:space="preserve">Areal uten boligbebyggelse – regnet som sirkel</t>
  </si>
  <si>
    <t xml:space="preserve">FOLK</t>
  </si>
  <si>
    <t xml:space="preserve">Driftsansatte</t>
  </si>
  <si>
    <t xml:space="preserve">Plakat 70 / Filipstad 100</t>
  </si>
  <si>
    <t xml:space="preserve">I byggeperioden</t>
  </si>
  <si>
    <t xml:space="preserve">Boliger innen 10 km (1 per ansatt)</t>
  </si>
  <si>
    <t xml:space="preserve">boliger</t>
  </si>
  <si>
    <t xml:space="preserve">Filipstad ønsker ansatte innen 10 km</t>
  </si>
  <si>
    <t xml:space="preserve">INVESTERING</t>
  </si>
  <si>
    <t xml:space="preserve">Bygg og teknisk</t>
  </si>
  <si>
    <t xml:space="preserve">Nett og trafo</t>
  </si>
  <si>
    <t xml:space="preserve">Til sammenligning: statsbudsjettet ca. 2 000 mrd</t>
  </si>
  <si>
    <t xml:space="preserve">RESERVEKRAFT</t>
  </si>
  <si>
    <t xml:space="preserve">Dieselaggregat</t>
  </si>
  <si>
    <t xml:space="preserve">Drivstofflager</t>
  </si>
  <si>
    <t xml:space="preserve">liter</t>
  </si>
  <si>
    <t xml:space="preserve">Ved full drift i lagertimene</t>
  </si>
  <si>
    <t xml:space="preserve">m³</t>
  </si>
  <si>
    <t xml:space="preserve">CO₂ ved full tømming av lager</t>
  </si>
  <si>
    <t xml:space="preserve">tonn</t>
  </si>
  <si>
    <t xml:space="preserve">Én full nødkjøring</t>
  </si>
  <si>
    <t xml:space="preserve">TID</t>
  </si>
  <si>
    <t xml:space="preserve">Byggetid</t>
  </si>
  <si>
    <t xml:space="preserve">Trafo er ofte kritisk linje</t>
  </si>
  <si>
    <t xml:space="preserve">KONSEKVENSER FOR KRAFTSYSTEM, NATUR OG SAMFUNN</t>
  </si>
  <si>
    <t xml:space="preserve">Konsekvens</t>
  </si>
  <si>
    <t xml:space="preserve">KRAFTBALANSE</t>
  </si>
  <si>
    <t xml:space="preserve">Kraftoverskudd i dag (produksjon − forbruk)</t>
  </si>
  <si>
    <t xml:space="preserve">Normalår</t>
  </si>
  <si>
    <t xml:space="preserve">Nytt forbruk fra 100 sentre</t>
  </si>
  <si>
    <t xml:space="preserve">Negativt = netto import eller ny produksjon</t>
  </si>
  <si>
    <t xml:space="preserve">Ny produksjon som kreves for å beholde dagens balanse</t>
  </si>
  <si>
    <t xml:space="preserve">… tilsvarer gasskraftverk (Kårstø-størrelse)</t>
  </si>
  <si>
    <t xml:space="preserve">Kårstø ble bygget 2007 og revet 2017–18</t>
  </si>
  <si>
    <t xml:space="preserve">… gassforbruk i kraftverkene</t>
  </si>
  <si>
    <t xml:space="preserve">… i andel av norsk gasseksport</t>
  </si>
  <si>
    <t xml:space="preserve">… CO₂-utslipp fra gasskraften</t>
  </si>
  <si>
    <t xml:space="preserve">Mt CO₂/år</t>
  </si>
  <si>
    <t xml:space="preserve">Uten fangst</t>
  </si>
  <si>
    <t xml:space="preserve">… i andel av norske utslipp i dag</t>
  </si>
  <si>
    <t xml:space="preserve">… investering gasskraft</t>
  </si>
  <si>
    <t xml:space="preserve">Alternativ: import via kabler – timer med full import</t>
  </si>
  <si>
    <t xml:space="preserve">timer/år</t>
  </si>
  <si>
    <t xml:space="preserve">Av 8 760 timer</t>
  </si>
  <si>
    <t xml:space="preserve">Realistisk importkapasitet</t>
  </si>
  <si>
    <t xml:space="preserve">Ved antatt importandel</t>
  </si>
  <si>
    <t xml:space="preserve">Positivt tall = rasjonering eller ny produksjon</t>
  </si>
  <si>
    <t xml:space="preserve">Nytt datasenterforbruk i andel av norsk forbruk</t>
  </si>
  <si>
    <t xml:space="preserve">Datasenterforbruk totalt (dagens + nye)</t>
  </si>
  <si>
    <t xml:space="preserve">Vekst i datasenterforbruk</t>
  </si>
  <si>
    <t xml:space="preserve">x</t>
  </si>
  <si>
    <t xml:space="preserve">Ganger dagens</t>
  </si>
  <si>
    <t xml:space="preserve">Ny tilknytningseffekt i andel av maksimallast</t>
  </si>
  <si>
    <t xml:space="preserve">Ved 5 000 MW: 1/5 av norsk topplast</t>
  </si>
  <si>
    <t xml:space="preserve">STRØMPRIS</t>
  </si>
  <si>
    <t xml:space="preserve">Verdi av nytt forbruk til referansepris</t>
  </si>
  <si>
    <t xml:space="preserve">Omsetning kraft – ikke prisvirkning</t>
  </si>
  <si>
    <t xml:space="preserve">Prisvirkning</t>
  </si>
  <si>
    <t xml:space="preserve">Kvalitativ</t>
  </si>
  <si>
    <t xml:space="preserve">Økt etterspørsel på 20–30 TWh gir varig høyere sørnorsk pris. Ordfører Pedersen: «litt dyrere strøm»</t>
  </si>
  <si>
    <t xml:space="preserve">EKSPORT VS EGET BEHOV</t>
  </si>
  <si>
    <t xml:space="preserve">Sentre til eget behov (modell)</t>
  </si>
  <si>
    <t xml:space="preserve">Sentre «til eksport» av datakraft</t>
  </si>
  <si>
    <t xml:space="preserve">Andel eksport</t>
  </si>
  <si>
    <t xml:space="preserve">Strøm til eksportsentre</t>
  </si>
  <si>
    <t xml:space="preserve">NATUR OG AREAL</t>
  </si>
  <si>
    <t xml:space="preserve">Tomteareal totalt</t>
  </si>
  <si>
    <t xml:space="preserve">Buffersoner totalt (500 m)</t>
  </si>
  <si>
    <t xml:space="preserve">Overlapp ikke medregnet</t>
  </si>
  <si>
    <t xml:space="preserve">Tilsvarer fotballbaner (tomt)</t>
  </si>
  <si>
    <t xml:space="preserve">7 140 m² per bane</t>
  </si>
  <si>
    <t xml:space="preserve">SAMFUNN</t>
  </si>
  <si>
    <t xml:space="preserve">Arbeidsplasser per TWh</t>
  </si>
  <si>
    <t xml:space="preserve">årsverk/TWh</t>
  </si>
  <si>
    <t xml:space="preserve">Til sammenligning gir kraftkrevende industri typisk flere</t>
  </si>
  <si>
    <t xml:space="preserve">Dieselreserve totalt</t>
  </si>
  <si>
    <t xml:space="preserve">Lokal støy, utslipp og lagring</t>
  </si>
  <si>
    <t xml:space="preserve">Diesellager totalt</t>
  </si>
  <si>
    <t xml:space="preserve">MULIGHETER OG LOKALE INNTEKTER</t>
  </si>
  <si>
    <t xml:space="preserve">Per senter og totalt – per år i drift.</t>
  </si>
  <si>
    <t xml:space="preserve">Mulighet</t>
  </si>
  <si>
    <t xml:space="preserve">KOMMUNALE INNTEKTER</t>
  </si>
  <si>
    <t xml:space="preserve">Eiendomsskatt</t>
  </si>
  <si>
    <t xml:space="preserve">Takst × sats – modellantakelser</t>
  </si>
  <si>
    <t xml:space="preserve">Lønnsmasse driftsansatte</t>
  </si>
  <si>
    <t xml:space="preserve">Anslått skatt på lønn (30 %)</t>
  </si>
  <si>
    <t xml:space="preserve">Grov andel – fordeles stat/kommune</t>
  </si>
  <si>
    <t xml:space="preserve">BYGGEPERIODEN</t>
  </si>
  <si>
    <t xml:space="preserve">Investering i kommunen</t>
  </si>
  <si>
    <t xml:space="preserve">Engangs</t>
  </si>
  <si>
    <t xml:space="preserve">Byggearbeidsplasser</t>
  </si>
  <si>
    <t xml:space="preserve">Midlertidig</t>
  </si>
  <si>
    <t xml:space="preserve">OVERSKUDDSVARME</t>
  </si>
  <si>
    <t xml:space="preserve">Gjenvinnbar varme</t>
  </si>
  <si>
    <t xml:space="preserve">Til fjernvarme, oppdrett, veksthus</t>
  </si>
  <si>
    <t xml:space="preserve">Tilsvarer eneboliger (20 000 kWh/år)</t>
  </si>
  <si>
    <t xml:space="preserve">VERDISKAPING</t>
  </si>
  <si>
    <t xml:space="preserve">Kraftkjøp lokalt</t>
  </si>
  <si>
    <t xml:space="preserve">Omsetning for kraftselskapet</t>
  </si>
  <si>
    <t xml:space="preserve">SUM ÅRLIGE LOKALE INNTEKTER (eiendomsskatt + lønn)</t>
  </si>
  <si>
    <t xml:space="preserve">SENSITIVITET – STRØMFORBRUK (TWh/år) VED ULIKT ANTALL OG STØRRELSE</t>
  </si>
  <si>
    <t xml:space="preserve">Rader: antall nye sentre. Kolonner: MW per senter. Blå tall kan endres.</t>
  </si>
  <si>
    <t xml:space="preserve">Antall \ MW</t>
  </si>
  <si>
    <t xml:space="preserve">KRAFTBALANSE ETTER UTBYGGING (TWh/år) – negativt = underskudd</t>
  </si>
  <si>
    <t xml:space="preserve">DRIFTSARBEIDSPLASSER</t>
  </si>
  <si>
    <t xml:space="preserve">Antall \ per senter</t>
  </si>
  <si>
    <t xml:space="preserve">STRØMPRIS – TO ESTIMATMETODER OG KONSEKVENSER</t>
  </si>
  <si>
    <t xml:space="preserve">Ingen modell kan spå kraftpris presist. Her vises et spenn: A) enkel etterspørselsvirkning, B) gasskraft/import setter prisen når Norge er i underskudd.</t>
  </si>
  <si>
    <t xml:space="preserve">INPUT (blå)</t>
  </si>
  <si>
    <t xml:space="preserve">Dagens referansepris Norge</t>
  </si>
  <si>
    <t xml:space="preserve">Årsgjennomsnitt spot – juster (NO3 lavere, NO2 høyere)</t>
  </si>
  <si>
    <t xml:space="preserve">Prisvirkning per TWh økt forbruk (metode A)</t>
  </si>
  <si>
    <t xml:space="preserve">NOK/kWh per TWh</t>
  </si>
  <si>
    <t xml:space="preserve">Modellantakelse 0,6 øre/TWh. NVE/Statnett-analyser antyder 0,3–1 øre/kWh per TWh nettoendring</t>
  </si>
  <si>
    <t xml:space="preserve">Gasspris (TTF)</t>
  </si>
  <si>
    <t xml:space="preserve">EUR/MWh</t>
  </si>
  <si>
    <t xml:space="preserve">Termisk – juster mot dagens marked</t>
  </si>
  <si>
    <t xml:space="preserve">CO₂-kvotepris (EUA)</t>
  </si>
  <si>
    <t xml:space="preserve">EUR/tonn</t>
  </si>
  <si>
    <t xml:space="preserve">Juster</t>
  </si>
  <si>
    <t xml:space="preserve">Drift og vedlikehold gasskraft</t>
  </si>
  <si>
    <t xml:space="preserve">Valutakurs</t>
  </si>
  <si>
    <t xml:space="preserve">NOK/EUR</t>
  </si>
  <si>
    <t xml:space="preserve">Husholdning – årsforbruk</t>
  </si>
  <si>
    <t xml:space="preserve">kWh/år</t>
  </si>
  <si>
    <t xml:space="preserve">Typisk enebolig</t>
  </si>
  <si>
    <t xml:space="preserve">Andel av forbrukskostnad som er spotpris</t>
  </si>
  <si>
    <t xml:space="preserve">Nettleie og avgifter kommer i tillegg</t>
  </si>
  <si>
    <t xml:space="preserve">Kraftkrevende industri – forbruk</t>
  </si>
  <si>
    <t xml:space="preserve">METODE A – ETTERSPØRSELSVIRKNING</t>
  </si>
  <si>
    <t xml:space="preserve">Nytt forbruk</t>
  </si>
  <si>
    <t xml:space="preserve">Prisøkning</t>
  </si>
  <si>
    <t xml:space="preserve">Lineær – undervurderer knapphet</t>
  </si>
  <si>
    <t xml:space="preserve">Ny pris</t>
  </si>
  <si>
    <t xml:space="preserve">METODE B – GASSKRAFT/IMPORT SETTER PRISEN</t>
  </si>
  <si>
    <t xml:space="preserve">Brenselkostnad gasskraft</t>
  </si>
  <si>
    <t xml:space="preserve">Gasspris / virkningsgrad</t>
  </si>
  <si>
    <t xml:space="preserve">CO₂-kostnad gasskraft</t>
  </si>
  <si>
    <t xml:space="preserve">Kvotepris × utslipp per MWh</t>
  </si>
  <si>
    <t xml:space="preserve">Marginalkostnad gasskraft</t>
  </si>
  <si>
    <t xml:space="preserve">Prisen vannkraftprodusentene vil kreve når alternativet er import/gass</t>
  </si>
  <si>
    <t xml:space="preserve">I underskudd: gasskostnad blir gulv</t>
  </si>
  <si>
    <t xml:space="preserve">SPENN</t>
  </si>
  <si>
    <t xml:space="preserve">Prisøkning – lavt anslag</t>
  </si>
  <si>
    <t xml:space="preserve">Prisøkning – høyt anslag</t>
  </si>
  <si>
    <t xml:space="preserve">KONSEKVENSER (høyt anslag)</t>
  </si>
  <si>
    <t xml:space="preserve">Husholdning – merkostnad</t>
  </si>
  <si>
    <t xml:space="preserve">Uten nettleie/avgift, uten strømstøtte</t>
  </si>
  <si>
    <t xml:space="preserve">Alle husholdninger + tjenester (ca. 75 TWh)</t>
  </si>
  <si>
    <t xml:space="preserve">Overføring fra forbrukere til produsenter</t>
  </si>
  <si>
    <t xml:space="preserve">Kraftkrevende industri – merkostnad</t>
  </si>
  <si>
    <t xml:space="preserve">Truer konkurranseevnen</t>
  </si>
  <si>
    <t xml:space="preserve">Hele norsk forbruk – merkostnad</t>
  </si>
  <si>
    <t xml:space="preserve">Hvorav ~90 % går til statlige/kommunale kraftprodusenter</t>
  </si>
  <si>
    <t xml:space="preserve">Datasentrenes egen strømregning ved ny pris</t>
  </si>
  <si>
    <t xml:space="preserve">Til sammenligning: 31 TWh × 1 NOK</t>
  </si>
  <si>
    <t xml:space="preserve">Prisøkning i prosent</t>
  </si>
  <si>
    <t xml:space="preserve">SENSITIVITET – PRISØKNING (øre/kWh) VED ANTALL 50 MW-SENTRE</t>
  </si>
  <si>
    <t xml:space="preserve">Antall sentre</t>
  </si>
  <si>
    <t xml:space="preserve">Nytt forbruk TWh</t>
  </si>
  <si>
    <t xml:space="preserve">Kraftbalanse TWh</t>
  </si>
  <si>
    <t xml:space="preserve">Metode A øre/kWh</t>
  </si>
  <si>
    <t xml:space="preserve">Metode B øre/kWh</t>
  </si>
  <si>
    <t xml:space="preserve">Merk: begge metodene gjelder årsgjennomsnitt. Toppriser i kalde, vindstille vinteruker kan bli langt høyere når kablene ikke har noe å importere.</t>
  </si>
  <si>
    <t xml:space="preserve">KILDER OG MODELLMERKNADER</t>
  </si>
  <si>
    <t xml:space="preserve">Kilde</t>
  </si>
  <si>
    <t xml:space="preserve">Brukt til</t>
  </si>
  <si>
    <t xml:space="preserve">URL</t>
  </si>
  <si>
    <t xml:space="preserve">Nkom – registrerte datasentre</t>
  </si>
  <si>
    <t xml:space="preserve">112 registrerte datasentre</t>
  </si>
  <si>
    <t xml:space="preserve">https://nkom.no/datasenter/oversikt</t>
  </si>
  <si>
    <t xml:space="preserve">Offisiell</t>
  </si>
  <si>
    <t xml:space="preserve">NVE – energibruk i datasenter</t>
  </si>
  <si>
    <t xml:space="preserve">3,3 TWh i 2025; 70 % brukstid</t>
  </si>
  <si>
    <t xml:space="preserve">https://www.nve.no/energi/energisystem/energibruk/energibruk-i-datasenter/</t>
  </si>
  <si>
    <t xml:space="preserve">TK – Surnadal 31.08.2026</t>
  </si>
  <si>
    <t xml:space="preserve">Filipstad-krav: 50 MW, 20–200 mål, 500 m, diesel, 2 ansatte/MW, 10 km, trafo flere år</t>
  </si>
  <si>
    <t xml:space="preserve">https://www.tk.no/enda-en-foresporsel-investorer-leter-etter-tomt/s/80-51-8931</t>
  </si>
  <si>
    <t xml:space="preserve">Artikkel gjengitt av bruker</t>
  </si>
  <si>
    <t xml:space="preserve">Energidepartementet 06.05.2026</t>
  </si>
  <si>
    <t xml:space="preserve">Datasenter tatt ut av alminnelig forsyning i konsesjonskraftordningen</t>
  </si>
  <si>
    <t xml:space="preserve">https://www.regjeringen.no/no/aktuelt/tar-datasenter-ut-av-definisjonen-av-alminnelig-forsyning-i-konsesjonskraftordningen/id3158660/</t>
  </si>
  <si>
    <t xml:space="preserve">DFD 10.08.2026</t>
  </si>
  <si>
    <t xml:space="preserve">Bransjesamarbeid om energieffektivisering og overskuddsvarme</t>
  </si>
  <si>
    <t xml:space="preserve">https://www.regjeringen.no/no/aktuelt/na-tar-regjeringen-grep-for-mer-effektiv-bruk-av-kraft-i-datasentre-samler-naringen-til-nytt-samarbeid/id3169886/</t>
  </si>
  <si>
    <t xml:space="preserve">Global Energy Monitor / Axios 26.08.2026</t>
  </si>
  <si>
    <t xml:space="preserve">USA: 189 GW gasskraft planlagt for datasenter (1. halvår 2026); 378 GW totalt</t>
  </si>
  <si>
    <t xml:space="preserve">https://www.axios.com/2026/08/26/global-energy-monitor-us-natural-gas-projections</t>
  </si>
  <si>
    <t xml:space="preserve">Internasjonal sammenligning</t>
  </si>
  <si>
    <t xml:space="preserve">Naturkraft Kårstø</t>
  </si>
  <si>
    <t xml:space="preserve">Referanse for gasskraftverk: 420 MW, i drift 2007–2014, revet 2017–18. Mongstad kraftvarmeverk stengt 2018. Tjeldbergodden-kraftverket ble aldri bygget.</t>
  </si>
  <si>
    <t xml:space="preserve">Historikk – klimaforliket</t>
  </si>
  <si>
    <t xml:space="preserve">Modellantakelser</t>
  </si>
  <si>
    <t xml:space="preserve">Investering/MW, trafokostnad, byggetid, diesel, eiendomsskattetakst, overskuddsvarme, gasskraft (Kårstø), importkapasitet, kraftbalanse</t>
  </si>
  <si>
    <t xml:space="preserve">Merket i Forutsetninger – ikke fasit. Kraftproduksjon/-forbruk er ca.-verdier som bør oppdateres mot NVE.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</si>
</sst>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"/>
    <numFmt numFmtId="166" formatCode="#,##0.0"/>
    <numFmt numFmtId="167" formatCode="0.0%"/>
    <numFmt numFmtId="168" formatCode="0.0\x"/>
    <numFmt numFmtId="169" formatCode="0.0"/>
    <numFmt numFmtId="170" formatCode="General"/>
    <numFmt numFmtId="171" formatCode="0.0;[RED]\-0.0"/>
    <numFmt numFmtId="172" formatCode="0.0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8000"/>
      <name val="Arial"/>
      <family val="0"/>
      <charset val="1"/>
    </font>
    <font>
      <sz val="10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A68"/>
        <bgColor rgb="FF333399"/>
      </patternFill>
    </fill>
    <fill>
      <patternFill patternType="solid">
        <fgColor rgb="FFD9E2F3"/>
        <bgColor rgb="FFCCFFFF"/>
      </patternFill>
    </fill>
    <fill>
      <patternFill patternType="solid">
        <fgColor rgb="FF2E5C9A"/>
        <bgColor rgb="FF333399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0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0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2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2E5C9A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6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</row>
    <row r="5" customFormat="false" ht="15" hidden="false" customHeight="false" outlineLevel="0" collapsed="false">
      <c r="A5" s="4" t="s">
        <v>6</v>
      </c>
      <c r="B5" s="4"/>
      <c r="C5" s="4"/>
      <c r="D5" s="4"/>
      <c r="E5" s="4"/>
    </row>
    <row r="6" customFormat="false" ht="15" hidden="false" customHeight="false" outlineLevel="0" collapsed="false">
      <c r="A6" s="5" t="s">
        <v>7</v>
      </c>
      <c r="B6" s="6" t="n">
        <f aca="false">Krav!C6</f>
        <v>5000</v>
      </c>
      <c r="C6" s="7" t="s">
        <v>8</v>
      </c>
      <c r="D6" s="7" t="s">
        <v>9</v>
      </c>
    </row>
    <row r="7" customFormat="false" ht="15" hidden="false" customHeight="false" outlineLevel="0" collapsed="false">
      <c r="A7" s="5" t="s">
        <v>10</v>
      </c>
      <c r="B7" s="8" t="n">
        <f aca="false">Krav!C7</f>
        <v>30.66</v>
      </c>
      <c r="C7" s="7" t="s">
        <v>11</v>
      </c>
      <c r="D7" s="7" t="s">
        <v>9</v>
      </c>
    </row>
    <row r="8" customFormat="false" ht="15" hidden="false" customHeight="false" outlineLevel="0" collapsed="false">
      <c r="A8" s="5" t="s">
        <v>12</v>
      </c>
      <c r="B8" s="6" t="n">
        <f aca="false">Krav!C12</f>
        <v>5000</v>
      </c>
      <c r="C8" s="7" t="s">
        <v>13</v>
      </c>
      <c r="D8" s="7" t="s">
        <v>9</v>
      </c>
    </row>
    <row r="9" customFormat="false" ht="15" hidden="false" customHeight="false" outlineLevel="0" collapsed="false">
      <c r="A9" s="5" t="s">
        <v>14</v>
      </c>
      <c r="B9" s="8" t="n">
        <f aca="false">Krav!C23</f>
        <v>515</v>
      </c>
      <c r="C9" s="7" t="s">
        <v>15</v>
      </c>
      <c r="D9" s="7" t="s">
        <v>9</v>
      </c>
    </row>
    <row r="10" customFormat="false" ht="15" hidden="false" customHeight="false" outlineLevel="0" collapsed="false">
      <c r="A10" s="5" t="s">
        <v>16</v>
      </c>
      <c r="B10" s="6" t="n">
        <f aca="false">Krav!C25</f>
        <v>5000</v>
      </c>
      <c r="C10" s="7" t="s">
        <v>8</v>
      </c>
      <c r="D10" s="7" t="s">
        <v>9</v>
      </c>
    </row>
    <row r="11" customFormat="false" ht="15" hidden="false" customHeight="false" outlineLevel="0" collapsed="false">
      <c r="A11" s="5" t="s">
        <v>17</v>
      </c>
      <c r="B11" s="6" t="n">
        <f aca="false">Krav!C30</f>
        <v>3</v>
      </c>
      <c r="C11" s="7" t="s">
        <v>18</v>
      </c>
      <c r="D11" s="7" t="s">
        <v>9</v>
      </c>
    </row>
    <row r="12" customFormat="false" ht="15" hidden="false" customHeight="false" outlineLevel="0" collapsed="false">
      <c r="A12" s="4" t="s">
        <v>19</v>
      </c>
      <c r="B12" s="4"/>
      <c r="C12" s="4"/>
      <c r="D12" s="4"/>
      <c r="E12" s="4"/>
    </row>
    <row r="13" customFormat="false" ht="15" hidden="false" customHeight="false" outlineLevel="0" collapsed="false">
      <c r="A13" s="5" t="s">
        <v>20</v>
      </c>
      <c r="B13" s="8" t="n">
        <f aca="false">Konsekvenser!B8</f>
        <v>-15.66</v>
      </c>
      <c r="C13" s="7" t="s">
        <v>11</v>
      </c>
      <c r="D13" s="7" t="s">
        <v>21</v>
      </c>
    </row>
    <row r="14" customFormat="false" ht="15" hidden="false" customHeight="false" outlineLevel="0" collapsed="false">
      <c r="A14" s="5" t="s">
        <v>22</v>
      </c>
      <c r="B14" s="8" t="n">
        <f aca="false">Konsekvenser!B9</f>
        <v>15.66</v>
      </c>
      <c r="C14" s="7" t="s">
        <v>11</v>
      </c>
      <c r="D14" s="7" t="s">
        <v>21</v>
      </c>
    </row>
    <row r="15" customFormat="false" ht="15" hidden="false" customHeight="false" outlineLevel="0" collapsed="false">
      <c r="A15" s="5" t="s">
        <v>23</v>
      </c>
      <c r="B15" s="6" t="n">
        <f aca="false">Konsekvenser!B10</f>
        <v>5.00748244503281</v>
      </c>
      <c r="C15" s="7" t="s">
        <v>24</v>
      </c>
      <c r="D15" s="7" t="s">
        <v>21</v>
      </c>
    </row>
    <row r="16" customFormat="false" ht="15" hidden="false" customHeight="false" outlineLevel="0" collapsed="false">
      <c r="A16" s="5" t="s">
        <v>25</v>
      </c>
      <c r="B16" s="8" t="n">
        <f aca="false">Konsekvenser!B13</f>
        <v>5.481</v>
      </c>
      <c r="C16" s="7" t="s">
        <v>26</v>
      </c>
      <c r="D16" s="7" t="s">
        <v>21</v>
      </c>
    </row>
    <row r="17" customFormat="false" ht="15" hidden="false" customHeight="false" outlineLevel="0" collapsed="false">
      <c r="A17" s="5" t="s">
        <v>27</v>
      </c>
      <c r="B17" s="8" t="n">
        <f aca="false">Konsekvenser!B18</f>
        <v>0</v>
      </c>
      <c r="C17" s="7" t="s">
        <v>11</v>
      </c>
      <c r="D17" s="7" t="s">
        <v>21</v>
      </c>
    </row>
    <row r="18" customFormat="false" ht="15" hidden="false" customHeight="false" outlineLevel="0" collapsed="false">
      <c r="A18" s="5" t="s">
        <v>28</v>
      </c>
      <c r="B18" s="9" t="n">
        <f aca="false">Konsekvenser!B19</f>
        <v>0.219</v>
      </c>
      <c r="C18" s="7" t="s">
        <v>29</v>
      </c>
      <c r="D18" s="7" t="s">
        <v>21</v>
      </c>
    </row>
    <row r="19" customFormat="false" ht="15" hidden="false" customHeight="false" outlineLevel="0" collapsed="false">
      <c r="A19" s="5" t="s">
        <v>30</v>
      </c>
      <c r="B19" s="9" t="n">
        <f aca="false">Konsekvenser!B22</f>
        <v>0.2</v>
      </c>
      <c r="C19" s="7" t="s">
        <v>29</v>
      </c>
      <c r="D19" s="7" t="s">
        <v>21</v>
      </c>
    </row>
    <row r="20" customFormat="false" ht="15" hidden="false" customHeight="false" outlineLevel="0" collapsed="false">
      <c r="A20" s="5" t="s">
        <v>31</v>
      </c>
      <c r="B20" s="8" t="n">
        <f aca="false">Konsekvenser!B20</f>
        <v>33.96</v>
      </c>
      <c r="C20" s="7" t="s">
        <v>11</v>
      </c>
      <c r="D20" s="7" t="s">
        <v>21</v>
      </c>
    </row>
    <row r="21" customFormat="false" ht="15" hidden="false" customHeight="false" outlineLevel="0" collapsed="false">
      <c r="A21" s="5" t="s">
        <v>32</v>
      </c>
      <c r="B21" s="6" t="n">
        <f aca="false">Konsekvenser!B28</f>
        <v>96</v>
      </c>
      <c r="C21" s="7" t="s">
        <v>24</v>
      </c>
      <c r="D21" s="7" t="s">
        <v>21</v>
      </c>
    </row>
    <row r="22" customFormat="false" ht="15" hidden="false" customHeight="false" outlineLevel="0" collapsed="false">
      <c r="A22" s="5" t="s">
        <v>33</v>
      </c>
      <c r="B22" s="8" t="n">
        <f aca="false">Strømpris!B28*100</f>
        <v>18.396</v>
      </c>
      <c r="C22" s="7" t="s">
        <v>34</v>
      </c>
      <c r="D22" s="7" t="s">
        <v>35</v>
      </c>
    </row>
    <row r="23" customFormat="false" ht="15" hidden="false" customHeight="false" outlineLevel="0" collapsed="false">
      <c r="A23" s="5" t="s">
        <v>36</v>
      </c>
      <c r="B23" s="8" t="n">
        <f aca="false">Strømpris!B29*100</f>
        <v>43.3215517241379</v>
      </c>
      <c r="C23" s="7" t="s">
        <v>34</v>
      </c>
      <c r="D23" s="7" t="s">
        <v>35</v>
      </c>
    </row>
    <row r="24" customFormat="false" ht="15" hidden="false" customHeight="false" outlineLevel="0" collapsed="false">
      <c r="A24" s="5" t="s">
        <v>37</v>
      </c>
      <c r="B24" s="6" t="n">
        <f aca="false">Strømpris!B32</f>
        <v>6931.44827586207</v>
      </c>
      <c r="C24" s="7" t="s">
        <v>38</v>
      </c>
      <c r="D24" s="7" t="s">
        <v>35</v>
      </c>
    </row>
    <row r="25" customFormat="false" ht="15" hidden="false" customHeight="false" outlineLevel="0" collapsed="false">
      <c r="A25" s="5" t="s">
        <v>39</v>
      </c>
      <c r="B25" s="8" t="n">
        <f aca="false">Strømpris!B35</f>
        <v>60.6501724137931</v>
      </c>
      <c r="C25" s="7" t="s">
        <v>40</v>
      </c>
      <c r="D25" s="7" t="s">
        <v>35</v>
      </c>
    </row>
    <row r="26" customFormat="false" ht="15" hidden="false" customHeight="false" outlineLevel="0" collapsed="false">
      <c r="A26" s="4" t="s">
        <v>41</v>
      </c>
      <c r="B26" s="4"/>
      <c r="C26" s="4"/>
      <c r="D26" s="4"/>
      <c r="E26" s="4"/>
    </row>
    <row r="27" customFormat="false" ht="15" hidden="false" customHeight="false" outlineLevel="0" collapsed="false">
      <c r="A27" s="5" t="s">
        <v>42</v>
      </c>
      <c r="B27" s="6" t="n">
        <f aca="false">Krav!C16</f>
        <v>7000</v>
      </c>
      <c r="C27" s="7" t="s">
        <v>43</v>
      </c>
      <c r="D27" s="7" t="s">
        <v>44</v>
      </c>
    </row>
    <row r="28" customFormat="false" ht="15" hidden="false" customHeight="false" outlineLevel="0" collapsed="false">
      <c r="A28" s="5" t="s">
        <v>45</v>
      </c>
      <c r="B28" s="6" t="n">
        <f aca="false">Krav!C17</f>
        <v>30000</v>
      </c>
      <c r="C28" s="7" t="s">
        <v>43</v>
      </c>
      <c r="D28" s="7" t="s">
        <v>44</v>
      </c>
    </row>
    <row r="29" customFormat="false" ht="15" hidden="false" customHeight="false" outlineLevel="0" collapsed="false">
      <c r="A29" s="5" t="s">
        <v>46</v>
      </c>
      <c r="B29" s="8" t="n">
        <f aca="false">Muligheter!C6</f>
        <v>1802.5</v>
      </c>
      <c r="C29" s="7" t="s">
        <v>47</v>
      </c>
      <c r="D29" s="7" t="s">
        <v>44</v>
      </c>
    </row>
    <row r="30" customFormat="false" ht="15" hidden="false" customHeight="false" outlineLevel="0" collapsed="false">
      <c r="A30" s="5" t="s">
        <v>48</v>
      </c>
      <c r="B30" s="8" t="n">
        <f aca="false">Muligheter!C7</f>
        <v>5600</v>
      </c>
      <c r="C30" s="7" t="s">
        <v>47</v>
      </c>
      <c r="D30" s="7" t="s">
        <v>44</v>
      </c>
    </row>
    <row r="31" customFormat="false" ht="15" hidden="false" customHeight="false" outlineLevel="0" collapsed="false">
      <c r="A31" s="5" t="s">
        <v>49</v>
      </c>
      <c r="B31" s="8" t="n">
        <f aca="false">Muligheter!C13</f>
        <v>9198</v>
      </c>
      <c r="C31" s="7" t="s">
        <v>50</v>
      </c>
      <c r="D31" s="7" t="s">
        <v>44</v>
      </c>
    </row>
    <row r="32" customFormat="false" ht="15" hidden="false" customHeight="false" outlineLevel="0" collapsed="false">
      <c r="A32" s="4" t="s">
        <v>51</v>
      </c>
      <c r="B32" s="4"/>
      <c r="C32" s="4"/>
      <c r="D32" s="4"/>
      <c r="E32" s="4"/>
    </row>
    <row r="33" customFormat="false" ht="15" hidden="false" customHeight="false" outlineLevel="0" collapsed="false">
      <c r="A33" s="10" t="str">
        <f aca="false">"100 nye sentre bruker "&amp;TEXT(Krav!C7,"0,0")&amp;" TWh/år – "&amp;TEXT(Konsekvenser!B21,"0,0")&amp;" ganger dagens datasenterforbruk, og "&amp;TEXT(Konsekvenser!B19,"0 %")&amp;" av alt norsk strømforbruk."</f>
        <v>100 nye sentre bruker 31 TWh/år – 10 ganger dagens datasenterforbruk, og 22 % av alt norsk strømforbruk.</v>
      </c>
      <c r="B33" s="10"/>
      <c r="C33" s="10"/>
      <c r="D33" s="10"/>
    </row>
    <row r="34" customFormat="false" ht="15" hidden="false" customHeight="false" outlineLevel="0" collapsed="false">
      <c r="A34" s="10" t="str">
        <f aca="false">"Kraftoverskuddet på "&amp;TEXT(Konsekvenser!B6,"0")&amp;" TWh forsvinner – det kreves "&amp;TEXT(Konsekvenser!B9,"0")&amp;" TWh ny produksjon – "&amp;TEXT(Konsekvenser!B10,"0")&amp;" gasskraftverk på Kårstø-størrelse – eller import."</f>
        <v>Kraftoverskuddet på 15 TWh forsvinner – det kreves 16 TWh ny produksjon – 5 gasskraftverk på Kårstø-størrelse – eller import.</v>
      </c>
      <c r="B34" s="10"/>
      <c r="C34" s="10"/>
      <c r="D34" s="10"/>
    </row>
    <row r="35" customFormat="false" ht="15" hidden="false" customHeight="false" outlineLevel="0" collapsed="false">
      <c r="A35" s="10" t="str">
        <f aca="false">"Bare "&amp;TEXT(Konsekvenser!B27,"0")&amp;" av 100 sentre dekker Norges modellbehov – "&amp;TEXT(Konsekvenser!B29,"0 %")&amp;" er eksport av datakraft."</f>
        <v>Bare 4 av 100 sentre dekker Norges modellbehov – 96 % er eksport av datakraft.</v>
      </c>
      <c r="B35" s="10"/>
      <c r="C35" s="10"/>
      <c r="D35" s="10"/>
    </row>
    <row r="36" customFormat="false" ht="15" hidden="false" customHeight="false" outlineLevel="0" collapsed="false">
      <c r="A36" s="10" t="str">
        <f aca="false">"Strømprisen kan øke "&amp;TEXT(Strømpris!B28*100,"0")&amp;"–"&amp;TEXT(Strømpris!B29*100,"0")&amp;" øre/kWh – "&amp;TEXT(Strømpris!B32,"# ##0")&amp;" kr/år for en enebolig og "&amp;TEXT(Strømpris!B35,"0")&amp;" mrd kr/år for hele Norge."</f>
        <v>Strømprisen kan øke 18–43 øre/kWh – 6 931 kr/år for en enebolig og 61 mrd kr/år for hele Norge.</v>
      </c>
      <c r="B36" s="10"/>
      <c r="C36" s="10"/>
      <c r="D36" s="10"/>
    </row>
  </sheetData>
  <mergeCells count="10">
    <mergeCell ref="A1:D1"/>
    <mergeCell ref="A2:D2"/>
    <mergeCell ref="A5:E5"/>
    <mergeCell ref="A12:E12"/>
    <mergeCell ref="A26:E26"/>
    <mergeCell ref="A32:E32"/>
    <mergeCell ref="A33:D33"/>
    <mergeCell ref="A34:D34"/>
    <mergeCell ref="A35:D35"/>
    <mergeCell ref="A36:D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70"/>
  </cols>
  <sheetData>
    <row r="1" customFormat="false" ht="17.35" hidden="false" customHeight="false" outlineLevel="0" collapsed="false">
      <c r="A1" s="1" t="s">
        <v>52</v>
      </c>
      <c r="B1" s="1"/>
      <c r="C1" s="1"/>
      <c r="D1" s="1"/>
    </row>
    <row r="2" customFormat="false" ht="15" hidden="false" customHeight="false" outlineLevel="0" collapsed="false">
      <c r="A2" s="2" t="s">
        <v>53</v>
      </c>
      <c r="B2" s="2"/>
      <c r="C2" s="2"/>
      <c r="D2" s="2"/>
    </row>
    <row r="4" customFormat="false" ht="15" hidden="false" customHeight="false" outlineLevel="0" collapsed="false">
      <c r="A4" s="3" t="s">
        <v>54</v>
      </c>
      <c r="B4" s="3" t="s">
        <v>3</v>
      </c>
      <c r="C4" s="3" t="s">
        <v>4</v>
      </c>
      <c r="D4" s="3" t="s">
        <v>55</v>
      </c>
    </row>
    <row r="5" customFormat="false" ht="15" hidden="false" customHeight="false" outlineLevel="0" collapsed="false">
      <c r="A5" s="4" t="s">
        <v>56</v>
      </c>
      <c r="B5" s="4"/>
      <c r="C5" s="4"/>
      <c r="D5" s="4"/>
      <c r="E5" s="4"/>
    </row>
    <row r="6" customFormat="false" ht="15" hidden="false" customHeight="false" outlineLevel="0" collapsed="false">
      <c r="A6" s="5" t="s">
        <v>57</v>
      </c>
      <c r="B6" s="11" t="n">
        <v>112</v>
      </c>
      <c r="C6" s="7" t="s">
        <v>24</v>
      </c>
      <c r="D6" s="7" t="s">
        <v>58</v>
      </c>
    </row>
    <row r="7" customFormat="false" ht="15" hidden="false" customHeight="false" outlineLevel="0" collapsed="false">
      <c r="A7" s="5" t="s">
        <v>59</v>
      </c>
      <c r="B7" s="11" t="n">
        <v>3.3</v>
      </c>
      <c r="C7" s="7" t="s">
        <v>11</v>
      </c>
      <c r="D7" s="7" t="s">
        <v>60</v>
      </c>
    </row>
    <row r="8" customFormat="false" ht="15" hidden="false" customHeight="false" outlineLevel="0" collapsed="false">
      <c r="A8" s="5" t="s">
        <v>61</v>
      </c>
      <c r="B8" s="11" t="n">
        <v>155</v>
      </c>
      <c r="C8" s="7" t="s">
        <v>11</v>
      </c>
      <c r="D8" s="7" t="s">
        <v>62</v>
      </c>
    </row>
    <row r="9" customFormat="false" ht="15" hidden="false" customHeight="false" outlineLevel="0" collapsed="false">
      <c r="A9" s="5" t="s">
        <v>63</v>
      </c>
      <c r="B9" s="11" t="n">
        <v>140</v>
      </c>
      <c r="C9" s="7" t="s">
        <v>11</v>
      </c>
      <c r="D9" s="7" t="s">
        <v>62</v>
      </c>
    </row>
    <row r="10" customFormat="false" ht="15" hidden="false" customHeight="false" outlineLevel="0" collapsed="false">
      <c r="A10" s="5" t="s">
        <v>64</v>
      </c>
      <c r="B10" s="12" t="n">
        <v>25000</v>
      </c>
      <c r="C10" s="7" t="s">
        <v>8</v>
      </c>
      <c r="D10" s="7" t="s">
        <v>65</v>
      </c>
    </row>
    <row r="11" customFormat="false" ht="15" hidden="false" customHeight="false" outlineLevel="0" collapsed="false">
      <c r="A11" s="4" t="s">
        <v>66</v>
      </c>
      <c r="B11" s="4"/>
      <c r="C11" s="4"/>
      <c r="D11" s="4"/>
      <c r="E11" s="4"/>
    </row>
    <row r="12" customFormat="false" ht="15" hidden="false" customHeight="false" outlineLevel="0" collapsed="false">
      <c r="A12" s="5" t="s">
        <v>67</v>
      </c>
      <c r="B12" s="11" t="n">
        <v>100</v>
      </c>
      <c r="C12" s="7" t="s">
        <v>24</v>
      </c>
      <c r="D12" s="7" t="s">
        <v>68</v>
      </c>
    </row>
    <row r="13" customFormat="false" ht="15" hidden="false" customHeight="false" outlineLevel="0" collapsed="false">
      <c r="A13" s="5" t="s">
        <v>69</v>
      </c>
      <c r="B13" s="11" t="n">
        <v>50</v>
      </c>
      <c r="C13" s="7" t="s">
        <v>8</v>
      </c>
      <c r="D13" s="7" t="s">
        <v>70</v>
      </c>
    </row>
    <row r="14" customFormat="false" ht="15" hidden="false" customHeight="false" outlineLevel="0" collapsed="false">
      <c r="A14" s="5" t="s">
        <v>71</v>
      </c>
      <c r="B14" s="13" t="n">
        <v>0.7</v>
      </c>
      <c r="C14" s="7" t="s">
        <v>29</v>
      </c>
      <c r="D14" s="7" t="s">
        <v>72</v>
      </c>
    </row>
    <row r="15" customFormat="false" ht="15" hidden="false" customHeight="false" outlineLevel="0" collapsed="false">
      <c r="A15" s="5" t="s">
        <v>73</v>
      </c>
      <c r="B15" s="12" t="n">
        <v>8760</v>
      </c>
      <c r="C15" s="7" t="s">
        <v>74</v>
      </c>
      <c r="D15" s="7" t="s">
        <v>75</v>
      </c>
    </row>
    <row r="16" customFormat="false" ht="23.85" hidden="false" customHeight="false" outlineLevel="0" collapsed="false">
      <c r="A16" s="5" t="s">
        <v>76</v>
      </c>
      <c r="B16" s="11" t="n">
        <v>4</v>
      </c>
      <c r="C16" s="7" t="s">
        <v>24</v>
      </c>
      <c r="D16" s="7" t="s">
        <v>77</v>
      </c>
    </row>
    <row r="17" customFormat="false" ht="15" hidden="false" customHeight="false" outlineLevel="0" collapsed="false">
      <c r="A17" s="4" t="s">
        <v>78</v>
      </c>
      <c r="B17" s="4"/>
      <c r="C17" s="4"/>
      <c r="D17" s="4"/>
      <c r="E17" s="4"/>
    </row>
    <row r="18" customFormat="false" ht="15" hidden="false" customHeight="false" outlineLevel="0" collapsed="false">
      <c r="A18" s="5" t="s">
        <v>79</v>
      </c>
      <c r="B18" s="12" t="n">
        <v>15000</v>
      </c>
      <c r="C18" s="7" t="s">
        <v>80</v>
      </c>
      <c r="D18" s="7" t="s">
        <v>81</v>
      </c>
    </row>
    <row r="19" customFormat="false" ht="15" hidden="false" customHeight="false" outlineLevel="0" collapsed="false">
      <c r="A19" s="5" t="s">
        <v>82</v>
      </c>
      <c r="B19" s="11" t="n">
        <v>50</v>
      </c>
      <c r="C19" s="7" t="s">
        <v>13</v>
      </c>
      <c r="D19" s="7" t="s">
        <v>83</v>
      </c>
    </row>
    <row r="20" customFormat="false" ht="15" hidden="false" customHeight="false" outlineLevel="0" collapsed="false">
      <c r="A20" s="5" t="s">
        <v>84</v>
      </c>
      <c r="B20" s="11" t="n">
        <v>500</v>
      </c>
      <c r="C20" s="7" t="s">
        <v>85</v>
      </c>
      <c r="D20" s="7" t="s">
        <v>86</v>
      </c>
    </row>
    <row r="21" customFormat="false" ht="15" hidden="false" customHeight="false" outlineLevel="0" collapsed="false">
      <c r="A21" s="4" t="s">
        <v>87</v>
      </c>
      <c r="B21" s="4"/>
      <c r="C21" s="4"/>
      <c r="D21" s="4"/>
      <c r="E21" s="4"/>
    </row>
    <row r="22" customFormat="false" ht="15" hidden="false" customHeight="false" outlineLevel="0" collapsed="false">
      <c r="A22" s="5" t="s">
        <v>88</v>
      </c>
      <c r="B22" s="11" t="n">
        <v>70</v>
      </c>
      <c r="C22" s="7" t="s">
        <v>43</v>
      </c>
      <c r="D22" s="7" t="s">
        <v>89</v>
      </c>
    </row>
    <row r="23" customFormat="false" ht="15" hidden="false" customHeight="false" outlineLevel="0" collapsed="false">
      <c r="A23" s="5" t="s">
        <v>90</v>
      </c>
      <c r="B23" s="11" t="n">
        <v>300</v>
      </c>
      <c r="C23" s="7" t="s">
        <v>43</v>
      </c>
      <c r="D23" s="7" t="s">
        <v>91</v>
      </c>
    </row>
    <row r="24" customFormat="false" ht="15" hidden="false" customHeight="false" outlineLevel="0" collapsed="false">
      <c r="A24" s="5" t="s">
        <v>92</v>
      </c>
      <c r="B24" s="12" t="n">
        <v>800000</v>
      </c>
      <c r="C24" s="7" t="s">
        <v>93</v>
      </c>
      <c r="D24" s="7" t="s">
        <v>94</v>
      </c>
    </row>
    <row r="25" customFormat="false" ht="15" hidden="false" customHeight="false" outlineLevel="0" collapsed="false">
      <c r="A25" s="5" t="s">
        <v>95</v>
      </c>
      <c r="B25" s="11" t="n">
        <v>10</v>
      </c>
      <c r="C25" s="7" t="s">
        <v>96</v>
      </c>
      <c r="D25" s="7" t="s">
        <v>97</v>
      </c>
    </row>
    <row r="26" customFormat="false" ht="15" hidden="false" customHeight="false" outlineLevel="0" collapsed="false">
      <c r="A26" s="4" t="s">
        <v>98</v>
      </c>
      <c r="B26" s="4"/>
      <c r="C26" s="4"/>
      <c r="D26" s="4"/>
      <c r="E26" s="4"/>
    </row>
    <row r="27" customFormat="false" ht="15" hidden="false" customHeight="false" outlineLevel="0" collapsed="false">
      <c r="A27" s="5" t="s">
        <v>99</v>
      </c>
      <c r="B27" s="11" t="n">
        <v>100</v>
      </c>
      <c r="C27" s="7" t="s">
        <v>100</v>
      </c>
      <c r="D27" s="7" t="s">
        <v>101</v>
      </c>
    </row>
    <row r="28" customFormat="false" ht="15" hidden="false" customHeight="false" outlineLevel="0" collapsed="false">
      <c r="A28" s="5" t="s">
        <v>102</v>
      </c>
      <c r="B28" s="11" t="n">
        <v>150</v>
      </c>
      <c r="C28" s="7" t="s">
        <v>103</v>
      </c>
      <c r="D28" s="7" t="s">
        <v>104</v>
      </c>
    </row>
    <row r="29" customFormat="false" ht="15" hidden="false" customHeight="false" outlineLevel="0" collapsed="false">
      <c r="A29" s="5" t="s">
        <v>105</v>
      </c>
      <c r="B29" s="11" t="n">
        <v>3</v>
      </c>
      <c r="C29" s="7" t="s">
        <v>18</v>
      </c>
      <c r="D29" s="7" t="s">
        <v>106</v>
      </c>
    </row>
    <row r="30" customFormat="false" ht="15" hidden="false" customHeight="false" outlineLevel="0" collapsed="false">
      <c r="A30" s="5" t="s">
        <v>107</v>
      </c>
      <c r="B30" s="11" t="n">
        <v>3</v>
      </c>
      <c r="C30" s="7" t="s">
        <v>18</v>
      </c>
      <c r="D30" s="7" t="s">
        <v>94</v>
      </c>
    </row>
    <row r="31" customFormat="false" ht="15" hidden="false" customHeight="false" outlineLevel="0" collapsed="false">
      <c r="A31" s="4" t="s">
        <v>108</v>
      </c>
      <c r="B31" s="4"/>
      <c r="C31" s="4"/>
      <c r="D31" s="4"/>
      <c r="E31" s="4"/>
    </row>
    <row r="32" customFormat="false" ht="15" hidden="false" customHeight="false" outlineLevel="0" collapsed="false">
      <c r="A32" s="5" t="s">
        <v>109</v>
      </c>
      <c r="B32" s="13" t="n">
        <v>1</v>
      </c>
      <c r="C32" s="7" t="s">
        <v>29</v>
      </c>
      <c r="D32" s="7" t="s">
        <v>110</v>
      </c>
    </row>
    <row r="33" customFormat="false" ht="15" hidden="false" customHeight="false" outlineLevel="0" collapsed="false">
      <c r="A33" s="5" t="s">
        <v>111</v>
      </c>
      <c r="B33" s="11" t="n">
        <v>48</v>
      </c>
      <c r="C33" s="7" t="s">
        <v>74</v>
      </c>
      <c r="D33" s="7" t="s">
        <v>94</v>
      </c>
    </row>
    <row r="34" customFormat="false" ht="15" hidden="false" customHeight="false" outlineLevel="0" collapsed="false">
      <c r="A34" s="5" t="s">
        <v>112</v>
      </c>
      <c r="B34" s="11" t="n">
        <v>3.5</v>
      </c>
      <c r="C34" s="7" t="s">
        <v>113</v>
      </c>
      <c r="D34" s="7" t="s">
        <v>114</v>
      </c>
    </row>
    <row r="35" customFormat="false" ht="15" hidden="false" customHeight="false" outlineLevel="0" collapsed="false">
      <c r="A35" s="5" t="s">
        <v>115</v>
      </c>
      <c r="B35" s="11" t="n">
        <v>2.68</v>
      </c>
      <c r="C35" s="7" t="s">
        <v>116</v>
      </c>
      <c r="D35" s="7" t="s">
        <v>117</v>
      </c>
    </row>
    <row r="36" customFormat="false" ht="15" hidden="false" customHeight="false" outlineLevel="0" collapsed="false">
      <c r="A36" s="4" t="s">
        <v>118</v>
      </c>
      <c r="B36" s="4"/>
      <c r="C36" s="4"/>
      <c r="D36" s="4"/>
      <c r="E36" s="4"/>
    </row>
    <row r="37" customFormat="false" ht="15" hidden="false" customHeight="false" outlineLevel="0" collapsed="false">
      <c r="A37" s="5" t="s">
        <v>119</v>
      </c>
      <c r="B37" s="13" t="n">
        <v>0.007</v>
      </c>
      <c r="C37" s="7" t="s">
        <v>29</v>
      </c>
      <c r="D37" s="7" t="s">
        <v>120</v>
      </c>
    </row>
    <row r="38" customFormat="false" ht="15" hidden="false" customHeight="false" outlineLevel="0" collapsed="false">
      <c r="A38" s="5" t="s">
        <v>121</v>
      </c>
      <c r="B38" s="13" t="n">
        <v>0.5</v>
      </c>
      <c r="C38" s="7" t="s">
        <v>29</v>
      </c>
      <c r="D38" s="7" t="s">
        <v>94</v>
      </c>
    </row>
    <row r="39" customFormat="false" ht="15" hidden="false" customHeight="false" outlineLevel="0" collapsed="false">
      <c r="A39" s="5" t="s">
        <v>49</v>
      </c>
      <c r="B39" s="13" t="n">
        <v>0.3</v>
      </c>
      <c r="C39" s="7" t="s">
        <v>29</v>
      </c>
      <c r="D39" s="7" t="s">
        <v>122</v>
      </c>
    </row>
    <row r="40" customFormat="false" ht="15" hidden="false" customHeight="false" outlineLevel="0" collapsed="false">
      <c r="A40" s="5" t="s">
        <v>123</v>
      </c>
      <c r="B40" s="11" t="n">
        <v>0.6</v>
      </c>
      <c r="C40" s="7" t="s">
        <v>124</v>
      </c>
      <c r="D40" s="7" t="s">
        <v>125</v>
      </c>
    </row>
    <row r="41" customFormat="false" ht="15" hidden="false" customHeight="false" outlineLevel="0" collapsed="false">
      <c r="A41" s="4" t="s">
        <v>126</v>
      </c>
      <c r="B41" s="4"/>
      <c r="C41" s="4"/>
      <c r="D41" s="4"/>
      <c r="E41" s="4"/>
    </row>
    <row r="42" customFormat="false" ht="15" hidden="false" customHeight="false" outlineLevel="0" collapsed="false">
      <c r="A42" s="5" t="s">
        <v>127</v>
      </c>
      <c r="B42" s="11" t="n">
        <v>420</v>
      </c>
      <c r="C42" s="7" t="s">
        <v>8</v>
      </c>
      <c r="D42" s="7" t="s">
        <v>128</v>
      </c>
    </row>
    <row r="43" customFormat="false" ht="15" hidden="false" customHeight="false" outlineLevel="0" collapsed="false">
      <c r="A43" s="5" t="s">
        <v>129</v>
      </c>
      <c r="B43" s="13" t="n">
        <v>0.85</v>
      </c>
      <c r="C43" s="7" t="s">
        <v>29</v>
      </c>
      <c r="D43" s="7" t="s">
        <v>130</v>
      </c>
    </row>
    <row r="44" customFormat="false" ht="15" hidden="false" customHeight="false" outlineLevel="0" collapsed="false">
      <c r="A44" s="5" t="s">
        <v>131</v>
      </c>
      <c r="B44" s="13" t="n">
        <v>0.58</v>
      </c>
      <c r="C44" s="7" t="s">
        <v>29</v>
      </c>
      <c r="D44" s="7" t="s">
        <v>132</v>
      </c>
    </row>
    <row r="45" customFormat="false" ht="15" hidden="false" customHeight="false" outlineLevel="0" collapsed="false">
      <c r="A45" s="5" t="s">
        <v>133</v>
      </c>
      <c r="B45" s="11" t="n">
        <v>0.35</v>
      </c>
      <c r="C45" s="7" t="s">
        <v>134</v>
      </c>
      <c r="D45" s="7" t="s">
        <v>135</v>
      </c>
    </row>
    <row r="46" customFormat="false" ht="15" hidden="false" customHeight="false" outlineLevel="0" collapsed="false">
      <c r="A46" s="5" t="s">
        <v>136</v>
      </c>
      <c r="B46" s="11" t="n">
        <v>46</v>
      </c>
      <c r="C46" s="7" t="s">
        <v>137</v>
      </c>
      <c r="D46" s="7" t="s">
        <v>138</v>
      </c>
    </row>
    <row r="47" customFormat="false" ht="15" hidden="false" customHeight="false" outlineLevel="0" collapsed="false">
      <c r="A47" s="5" t="s">
        <v>139</v>
      </c>
      <c r="B47" s="11" t="n">
        <v>10.5</v>
      </c>
      <c r="C47" s="7" t="s">
        <v>140</v>
      </c>
      <c r="D47" s="7" t="s">
        <v>141</v>
      </c>
    </row>
    <row r="48" customFormat="false" ht="15" hidden="false" customHeight="false" outlineLevel="0" collapsed="false">
      <c r="A48" s="5" t="s">
        <v>142</v>
      </c>
      <c r="B48" s="11" t="n">
        <v>120</v>
      </c>
      <c r="C48" s="7" t="s">
        <v>143</v>
      </c>
      <c r="D48" s="7" t="s">
        <v>144</v>
      </c>
    </row>
    <row r="49" customFormat="false" ht="15" hidden="false" customHeight="false" outlineLevel="0" collapsed="false">
      <c r="A49" s="5" t="s">
        <v>145</v>
      </c>
      <c r="B49" s="11" t="n">
        <v>12</v>
      </c>
      <c r="C49" s="7" t="s">
        <v>100</v>
      </c>
      <c r="D49" s="7" t="s">
        <v>146</v>
      </c>
    </row>
    <row r="50" customFormat="false" ht="15" hidden="false" customHeight="false" outlineLevel="0" collapsed="false">
      <c r="A50" s="4" t="s">
        <v>147</v>
      </c>
      <c r="B50" s="4"/>
      <c r="C50" s="4"/>
      <c r="D50" s="4"/>
      <c r="E50" s="4"/>
    </row>
    <row r="51" customFormat="false" ht="15" hidden="false" customHeight="false" outlineLevel="0" collapsed="false">
      <c r="A51" s="5" t="s">
        <v>148</v>
      </c>
      <c r="B51" s="12" t="n">
        <v>9000</v>
      </c>
      <c r="C51" s="7" t="s">
        <v>8</v>
      </c>
      <c r="D51" s="7" t="s">
        <v>149</v>
      </c>
    </row>
    <row r="52" customFormat="false" ht="15" hidden="false" customHeight="false" outlineLevel="0" collapsed="false">
      <c r="A52" s="5" t="s">
        <v>150</v>
      </c>
      <c r="B52" s="13" t="n">
        <v>0.5</v>
      </c>
      <c r="C52" s="7" t="s">
        <v>29</v>
      </c>
      <c r="D52" s="7" t="s">
        <v>151</v>
      </c>
    </row>
  </sheetData>
  <mergeCells count="11">
    <mergeCell ref="A1:D1"/>
    <mergeCell ref="A2:D2"/>
    <mergeCell ref="A5:E5"/>
    <mergeCell ref="A11:E11"/>
    <mergeCell ref="A17:E17"/>
    <mergeCell ref="A21:E21"/>
    <mergeCell ref="A26:E26"/>
    <mergeCell ref="A31:E31"/>
    <mergeCell ref="A36:E36"/>
    <mergeCell ref="A41:E41"/>
    <mergeCell ref="A50:E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10"/>
    <col collapsed="false" customWidth="true" hidden="false" outlineLevel="0" max="5" min="5" style="0" width="60"/>
  </cols>
  <sheetData>
    <row r="1" customFormat="false" ht="17.35" hidden="false" customHeight="false" outlineLevel="0" collapsed="false">
      <c r="A1" s="1" t="s">
        <v>152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153</v>
      </c>
      <c r="B2" s="2"/>
      <c r="C2" s="2"/>
      <c r="D2" s="2"/>
      <c r="E2" s="2"/>
    </row>
    <row r="4" customFormat="false" ht="15" hidden="false" customHeight="false" outlineLevel="0" collapsed="false">
      <c r="A4" s="3" t="s">
        <v>9</v>
      </c>
      <c r="B4" s="3" t="s">
        <v>154</v>
      </c>
      <c r="C4" s="3" t="s">
        <v>155</v>
      </c>
      <c r="D4" s="3" t="s">
        <v>4</v>
      </c>
      <c r="E4" s="3" t="s">
        <v>156</v>
      </c>
    </row>
    <row r="5" customFormat="false" ht="15" hidden="false" customHeight="false" outlineLevel="0" collapsed="false">
      <c r="A5" s="4" t="s">
        <v>157</v>
      </c>
      <c r="B5" s="4"/>
      <c r="C5" s="4"/>
      <c r="D5" s="4"/>
      <c r="E5" s="4"/>
    </row>
    <row r="6" customFormat="false" ht="15" hidden="false" customHeight="false" outlineLevel="0" collapsed="false">
      <c r="A6" s="5" t="s">
        <v>158</v>
      </c>
      <c r="B6" s="6" t="n">
        <f aca="false">Forutsetninger!$B$13</f>
        <v>50</v>
      </c>
      <c r="C6" s="14" t="n">
        <f aca="false">B6*Forutsetninger!$B$12</f>
        <v>5000</v>
      </c>
      <c r="D6" s="7" t="s">
        <v>8</v>
      </c>
      <c r="E6" s="7" t="s">
        <v>159</v>
      </c>
    </row>
    <row r="7" customFormat="false" ht="15" hidden="false" customHeight="false" outlineLevel="0" collapsed="false">
      <c r="A7" s="5" t="s">
        <v>160</v>
      </c>
      <c r="B7" s="8" t="n">
        <f aca="false">Forutsetninger!$B$13*Forutsetninger!$B$14*Forutsetninger!$B$15/1000000</f>
        <v>0.3066</v>
      </c>
      <c r="C7" s="15" t="n">
        <f aca="false">B7*Forutsetninger!$B$12</f>
        <v>30.66</v>
      </c>
      <c r="D7" s="7" t="s">
        <v>11</v>
      </c>
      <c r="E7" s="7" t="s">
        <v>161</v>
      </c>
    </row>
    <row r="8" customFormat="false" ht="15" hidden="false" customHeight="false" outlineLevel="0" collapsed="false">
      <c r="A8" s="5" t="s">
        <v>162</v>
      </c>
      <c r="B8" s="6" t="n">
        <f aca="false">Forutsetninger!$B$28</f>
        <v>150</v>
      </c>
      <c r="C8" s="14" t="n">
        <f aca="false">B8*Forutsetninger!$B$12</f>
        <v>15000</v>
      </c>
      <c r="D8" s="7" t="s">
        <v>103</v>
      </c>
      <c r="E8" s="7" t="s">
        <v>94</v>
      </c>
    </row>
    <row r="9" customFormat="false" ht="15" hidden="false" customHeight="false" outlineLevel="0" collapsed="false">
      <c r="A9" s="5" t="s">
        <v>105</v>
      </c>
      <c r="B9" s="6" t="n">
        <f aca="false">Forutsetninger!$B$29</f>
        <v>3</v>
      </c>
      <c r="C9" s="14" t="n">
        <f aca="false">Forutsetninger!$B$29</f>
        <v>3</v>
      </c>
      <c r="D9" s="7" t="s">
        <v>18</v>
      </c>
      <c r="E9" s="7" t="s">
        <v>163</v>
      </c>
    </row>
    <row r="10" customFormat="false" ht="15" hidden="false" customHeight="false" outlineLevel="0" collapsed="false">
      <c r="A10" s="4" t="s">
        <v>164</v>
      </c>
      <c r="B10" s="4"/>
      <c r="C10" s="4"/>
      <c r="D10" s="4"/>
      <c r="E10" s="4"/>
    </row>
    <row r="11" customFormat="false" ht="15" hidden="false" customHeight="false" outlineLevel="0" collapsed="false">
      <c r="A11" s="5" t="s">
        <v>165</v>
      </c>
      <c r="B11" s="6" t="n">
        <f aca="false">Forutsetninger!$B$18</f>
        <v>15000</v>
      </c>
      <c r="C11" s="14" t="n">
        <f aca="false">B11*Forutsetninger!$B$12</f>
        <v>1500000</v>
      </c>
      <c r="D11" s="7" t="s">
        <v>80</v>
      </c>
      <c r="E11" s="7"/>
    </row>
    <row r="12" customFormat="false" ht="15" hidden="false" customHeight="false" outlineLevel="0" collapsed="false">
      <c r="A12" s="5" t="s">
        <v>166</v>
      </c>
      <c r="B12" s="6" t="n">
        <f aca="false">Forutsetninger!$B$19</f>
        <v>50</v>
      </c>
      <c r="C12" s="14" t="n">
        <f aca="false">B12*Forutsetninger!$B$12</f>
        <v>5000</v>
      </c>
      <c r="D12" s="7" t="s">
        <v>13</v>
      </c>
      <c r="E12" s="7" t="s">
        <v>167</v>
      </c>
    </row>
    <row r="13" customFormat="false" ht="15" hidden="false" customHeight="false" outlineLevel="0" collapsed="false">
      <c r="A13" s="5" t="s">
        <v>166</v>
      </c>
      <c r="B13" s="16" t="n">
        <f aca="false">B12/1000</f>
        <v>0.05</v>
      </c>
      <c r="C13" s="15" t="n">
        <f aca="false">C12/1000</f>
        <v>5</v>
      </c>
      <c r="D13" s="7" t="s">
        <v>168</v>
      </c>
      <c r="E13" s="7"/>
    </row>
    <row r="14" customFormat="false" ht="15" hidden="false" customHeight="false" outlineLevel="0" collapsed="false">
      <c r="A14" s="5" t="s">
        <v>169</v>
      </c>
      <c r="B14" s="8" t="n">
        <f aca="false">PI()*(Forutsetninger!$B$20/1000)^2</f>
        <v>0.785398163397448</v>
      </c>
      <c r="C14" s="15" t="n">
        <f aca="false">B14*Forutsetninger!$B$12</f>
        <v>78.5398163397448</v>
      </c>
      <c r="D14" s="7" t="s">
        <v>168</v>
      </c>
      <c r="E14" s="7" t="s">
        <v>170</v>
      </c>
    </row>
    <row r="15" customFormat="false" ht="15" hidden="false" customHeight="false" outlineLevel="0" collapsed="false">
      <c r="A15" s="4" t="s">
        <v>171</v>
      </c>
      <c r="B15" s="4"/>
      <c r="C15" s="4"/>
      <c r="D15" s="4"/>
      <c r="E15" s="4"/>
    </row>
    <row r="16" customFormat="false" ht="15" hidden="false" customHeight="false" outlineLevel="0" collapsed="false">
      <c r="A16" s="5" t="s">
        <v>172</v>
      </c>
      <c r="B16" s="6" t="n">
        <f aca="false">Forutsetninger!$B$22</f>
        <v>70</v>
      </c>
      <c r="C16" s="14" t="n">
        <f aca="false">B16*Forutsetninger!$B$12</f>
        <v>7000</v>
      </c>
      <c r="D16" s="7" t="s">
        <v>43</v>
      </c>
      <c r="E16" s="7" t="s">
        <v>173</v>
      </c>
    </row>
    <row r="17" customFormat="false" ht="15" hidden="false" customHeight="false" outlineLevel="0" collapsed="false">
      <c r="A17" s="5" t="s">
        <v>45</v>
      </c>
      <c r="B17" s="6" t="n">
        <f aca="false">Forutsetninger!$B$23</f>
        <v>300</v>
      </c>
      <c r="C17" s="14" t="n">
        <f aca="false">B17*Forutsetninger!$B$12</f>
        <v>30000</v>
      </c>
      <c r="D17" s="7" t="s">
        <v>43</v>
      </c>
      <c r="E17" s="7" t="s">
        <v>174</v>
      </c>
    </row>
    <row r="18" customFormat="false" ht="15" hidden="false" customHeight="false" outlineLevel="0" collapsed="false">
      <c r="A18" s="5" t="s">
        <v>175</v>
      </c>
      <c r="B18" s="17" t="n">
        <f aca="false">B16</f>
        <v>70</v>
      </c>
      <c r="C18" s="14" t="n">
        <f aca="false">C16</f>
        <v>7000</v>
      </c>
      <c r="D18" s="7" t="s">
        <v>176</v>
      </c>
      <c r="E18" s="7" t="s">
        <v>177</v>
      </c>
    </row>
    <row r="19" customFormat="false" ht="15" hidden="false" customHeight="false" outlineLevel="0" collapsed="false">
      <c r="A19" s="4" t="s">
        <v>178</v>
      </c>
      <c r="B19" s="4"/>
      <c r="C19" s="4"/>
      <c r="D19" s="4"/>
      <c r="E19" s="4"/>
    </row>
    <row r="20" customFormat="false" ht="15" hidden="false" customHeight="false" outlineLevel="0" collapsed="false">
      <c r="A20" s="5" t="s">
        <v>179</v>
      </c>
      <c r="B20" s="6" t="n">
        <f aca="false">Forutsetninger!$B$13*Forutsetninger!$B$27</f>
        <v>5000</v>
      </c>
      <c r="C20" s="14" t="n">
        <f aca="false">B20*Forutsetninger!$B$12</f>
        <v>500000</v>
      </c>
      <c r="D20" s="7" t="s">
        <v>103</v>
      </c>
      <c r="E20" s="7"/>
    </row>
    <row r="21" customFormat="false" ht="15" hidden="false" customHeight="false" outlineLevel="0" collapsed="false">
      <c r="A21" s="5" t="s">
        <v>180</v>
      </c>
      <c r="B21" s="6" t="n">
        <f aca="false">Forutsetninger!$B$28</f>
        <v>150</v>
      </c>
      <c r="C21" s="14" t="n">
        <f aca="false">C8</f>
        <v>15000</v>
      </c>
      <c r="D21" s="7" t="s">
        <v>103</v>
      </c>
      <c r="E21" s="7"/>
    </row>
    <row r="22" customFormat="false" ht="15" hidden="false" customHeight="false" outlineLevel="0" collapsed="false">
      <c r="A22" s="5" t="s">
        <v>14</v>
      </c>
      <c r="B22" s="17" t="n">
        <f aca="false">B20+B21</f>
        <v>5150</v>
      </c>
      <c r="C22" s="14" t="n">
        <f aca="false">C20+C21</f>
        <v>515000</v>
      </c>
      <c r="D22" s="7" t="s">
        <v>103</v>
      </c>
      <c r="E22" s="7"/>
    </row>
    <row r="23" customFormat="false" ht="15" hidden="false" customHeight="false" outlineLevel="0" collapsed="false">
      <c r="A23" s="5" t="s">
        <v>14</v>
      </c>
      <c r="B23" s="16" t="n">
        <f aca="false">B22/1000</f>
        <v>5.15</v>
      </c>
      <c r="C23" s="15" t="n">
        <f aca="false">C22/1000</f>
        <v>515</v>
      </c>
      <c r="D23" s="7" t="s">
        <v>15</v>
      </c>
      <c r="E23" s="7" t="s">
        <v>181</v>
      </c>
    </row>
    <row r="24" customFormat="false" ht="15" hidden="false" customHeight="false" outlineLevel="0" collapsed="false">
      <c r="A24" s="4" t="s">
        <v>182</v>
      </c>
      <c r="B24" s="4"/>
      <c r="C24" s="4"/>
      <c r="D24" s="4"/>
      <c r="E24" s="4"/>
    </row>
    <row r="25" customFormat="false" ht="15" hidden="false" customHeight="false" outlineLevel="0" collapsed="false">
      <c r="A25" s="5" t="s">
        <v>183</v>
      </c>
      <c r="B25" s="6" t="n">
        <f aca="false">Forutsetninger!$B$13*Forutsetninger!$B$32</f>
        <v>50</v>
      </c>
      <c r="C25" s="14" t="n">
        <f aca="false">B25*Forutsetninger!$B$12</f>
        <v>5000</v>
      </c>
      <c r="D25" s="7" t="s">
        <v>8</v>
      </c>
      <c r="E25" s="7"/>
    </row>
    <row r="26" customFormat="false" ht="15" hidden="false" customHeight="false" outlineLevel="0" collapsed="false">
      <c r="A26" s="5" t="s">
        <v>184</v>
      </c>
      <c r="B26" s="6" t="n">
        <f aca="false">B25*1000*Forutsetninger!$B$33/Forutsetninger!$B$34</f>
        <v>685714.285714286</v>
      </c>
      <c r="C26" s="14" t="n">
        <f aca="false">B26*Forutsetninger!$B$12</f>
        <v>68571428.5714286</v>
      </c>
      <c r="D26" s="7" t="s">
        <v>185</v>
      </c>
      <c r="E26" s="7" t="s">
        <v>186</v>
      </c>
    </row>
    <row r="27" customFormat="false" ht="15" hidden="false" customHeight="false" outlineLevel="0" collapsed="false">
      <c r="A27" s="5" t="s">
        <v>184</v>
      </c>
      <c r="B27" s="17" t="n">
        <f aca="false">B26/1000</f>
        <v>685.714285714286</v>
      </c>
      <c r="C27" s="14" t="n">
        <f aca="false">C26/1000</f>
        <v>68571.4285714286</v>
      </c>
      <c r="D27" s="7" t="s">
        <v>187</v>
      </c>
      <c r="E27" s="7"/>
    </row>
    <row r="28" customFormat="false" ht="15" hidden="false" customHeight="false" outlineLevel="0" collapsed="false">
      <c r="A28" s="5" t="s">
        <v>188</v>
      </c>
      <c r="B28" s="6" t="n">
        <f aca="false">B26*Forutsetninger!$B$35/1000</f>
        <v>1837.71428571429</v>
      </c>
      <c r="C28" s="14" t="n">
        <f aca="false">C26*Forutsetninger!$B$35/1000</f>
        <v>183771.428571429</v>
      </c>
      <c r="D28" s="7" t="s">
        <v>189</v>
      </c>
      <c r="E28" s="7" t="s">
        <v>190</v>
      </c>
    </row>
    <row r="29" customFormat="false" ht="15" hidden="false" customHeight="false" outlineLevel="0" collapsed="false">
      <c r="A29" s="4" t="s">
        <v>191</v>
      </c>
      <c r="B29" s="4"/>
      <c r="C29" s="4"/>
      <c r="D29" s="4"/>
      <c r="E29" s="4"/>
    </row>
    <row r="30" customFormat="false" ht="15" hidden="false" customHeight="false" outlineLevel="0" collapsed="false">
      <c r="A30" s="5" t="s">
        <v>192</v>
      </c>
      <c r="B30" s="6" t="n">
        <f aca="false">Forutsetninger!$B$30</f>
        <v>3</v>
      </c>
      <c r="C30" s="14" t="n">
        <f aca="false">MAX(Forutsetninger!$B$30,Forutsetninger!$B$29)</f>
        <v>3</v>
      </c>
      <c r="D30" s="7" t="s">
        <v>18</v>
      </c>
      <c r="E30" s="7" t="s">
        <v>193</v>
      </c>
    </row>
  </sheetData>
  <mergeCells count="8">
    <mergeCell ref="A1:E1"/>
    <mergeCell ref="A2:E2"/>
    <mergeCell ref="A5:E5"/>
    <mergeCell ref="A10:E10"/>
    <mergeCell ref="A15:E15"/>
    <mergeCell ref="A19:E19"/>
    <mergeCell ref="A24:E24"/>
    <mergeCell ref="A29:E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70"/>
  </cols>
  <sheetData>
    <row r="1" customFormat="false" ht="17.35" hidden="false" customHeight="false" outlineLevel="0" collapsed="false">
      <c r="A1" s="1" t="s">
        <v>194</v>
      </c>
      <c r="B1" s="1"/>
      <c r="C1" s="1"/>
      <c r="D1" s="1"/>
    </row>
    <row r="4" customFormat="false" ht="15" hidden="false" customHeight="false" outlineLevel="0" collapsed="false">
      <c r="A4" s="3" t="s">
        <v>195</v>
      </c>
      <c r="B4" s="3" t="s">
        <v>3</v>
      </c>
      <c r="C4" s="3" t="s">
        <v>4</v>
      </c>
      <c r="D4" s="3" t="s">
        <v>156</v>
      </c>
    </row>
    <row r="5" customFormat="false" ht="15" hidden="false" customHeight="false" outlineLevel="0" collapsed="false">
      <c r="A5" s="4" t="s">
        <v>196</v>
      </c>
      <c r="B5" s="4"/>
      <c r="C5" s="4"/>
      <c r="D5" s="4"/>
      <c r="E5" s="4"/>
    </row>
    <row r="6" customFormat="false" ht="15" hidden="false" customHeight="false" outlineLevel="0" collapsed="false">
      <c r="A6" s="5" t="s">
        <v>197</v>
      </c>
      <c r="B6" s="8" t="n">
        <f aca="false">Forutsetninger!$B$8-Forutsetninger!$B$9</f>
        <v>15</v>
      </c>
      <c r="C6" s="7" t="s">
        <v>11</v>
      </c>
      <c r="D6" s="7" t="s">
        <v>198</v>
      </c>
    </row>
    <row r="7" customFormat="false" ht="15" hidden="false" customHeight="false" outlineLevel="0" collapsed="false">
      <c r="A7" s="5" t="s">
        <v>199</v>
      </c>
      <c r="B7" s="8" t="n">
        <f aca="false">Krav!C7</f>
        <v>30.66</v>
      </c>
      <c r="C7" s="7" t="s">
        <v>11</v>
      </c>
      <c r="D7" s="7"/>
    </row>
    <row r="8" customFormat="false" ht="15" hidden="false" customHeight="false" outlineLevel="0" collapsed="false">
      <c r="A8" s="5" t="s">
        <v>20</v>
      </c>
      <c r="B8" s="16" t="n">
        <f aca="false">B6-B7</f>
        <v>-15.66</v>
      </c>
      <c r="C8" s="7" t="s">
        <v>11</v>
      </c>
      <c r="D8" s="7" t="s">
        <v>200</v>
      </c>
    </row>
    <row r="9" customFormat="false" ht="15" hidden="false" customHeight="false" outlineLevel="0" collapsed="false">
      <c r="A9" s="5" t="s">
        <v>201</v>
      </c>
      <c r="B9" s="16" t="n">
        <f aca="false">MAX(B7-B6,0)</f>
        <v>15.66</v>
      </c>
      <c r="C9" s="7" t="s">
        <v>11</v>
      </c>
      <c r="D9" s="7"/>
    </row>
    <row r="10" customFormat="false" ht="15" hidden="false" customHeight="false" outlineLevel="0" collapsed="false">
      <c r="A10" s="5" t="s">
        <v>202</v>
      </c>
      <c r="B10" s="6" t="n">
        <f aca="false">B9*1000000/(Forutsetninger!$B$42*Forutsetninger!$B$43*Forutsetninger!$B$15)</f>
        <v>5.00748244503281</v>
      </c>
      <c r="C10" s="7" t="s">
        <v>24</v>
      </c>
      <c r="D10" s="7" t="s">
        <v>203</v>
      </c>
    </row>
    <row r="11" customFormat="false" ht="15" hidden="false" customHeight="false" outlineLevel="0" collapsed="false">
      <c r="A11" s="5" t="s">
        <v>204</v>
      </c>
      <c r="B11" s="8" t="n">
        <f aca="false">B9/Forutsetninger!$B$44/Forutsetninger!$B$47</f>
        <v>2.57142857142857</v>
      </c>
      <c r="C11" s="7" t="s">
        <v>143</v>
      </c>
      <c r="D11" s="7"/>
    </row>
    <row r="12" customFormat="false" ht="15" hidden="false" customHeight="false" outlineLevel="0" collapsed="false">
      <c r="A12" s="5" t="s">
        <v>205</v>
      </c>
      <c r="B12" s="9" t="n">
        <f aca="false">B11/Forutsetninger!$B$48</f>
        <v>0.0214285714285714</v>
      </c>
      <c r="C12" s="7" t="s">
        <v>29</v>
      </c>
      <c r="D12" s="7"/>
    </row>
    <row r="13" customFormat="false" ht="15" hidden="false" customHeight="false" outlineLevel="0" collapsed="false">
      <c r="A13" s="5" t="s">
        <v>206</v>
      </c>
      <c r="B13" s="8" t="n">
        <f aca="false">B9*1000000000*Forutsetninger!$B$45/1000000000</f>
        <v>5.481</v>
      </c>
      <c r="C13" s="7" t="s">
        <v>207</v>
      </c>
      <c r="D13" s="7" t="s">
        <v>208</v>
      </c>
    </row>
    <row r="14" customFormat="false" ht="15" hidden="false" customHeight="false" outlineLevel="0" collapsed="false">
      <c r="A14" s="5" t="s">
        <v>209</v>
      </c>
      <c r="B14" s="9" t="n">
        <f aca="false">B13/Forutsetninger!$B$46</f>
        <v>0.119152173913043</v>
      </c>
      <c r="C14" s="7" t="s">
        <v>29</v>
      </c>
      <c r="D14" s="7"/>
    </row>
    <row r="15" customFormat="false" ht="15" hidden="false" customHeight="false" outlineLevel="0" collapsed="false">
      <c r="A15" s="5" t="s">
        <v>210</v>
      </c>
      <c r="B15" s="8" t="n">
        <f aca="false">B10*Forutsetninger!$B$42*Forutsetninger!$B$49/1000</f>
        <v>25.2377115229653</v>
      </c>
      <c r="C15" s="7" t="s">
        <v>15</v>
      </c>
      <c r="D15" s="7"/>
    </row>
    <row r="16" customFormat="false" ht="15" hidden="false" customHeight="false" outlineLevel="0" collapsed="false">
      <c r="A16" s="5" t="s">
        <v>211</v>
      </c>
      <c r="B16" s="6" t="n">
        <f aca="false">B9*1000000/Forutsetninger!$B$51</f>
        <v>1740</v>
      </c>
      <c r="C16" s="7" t="s">
        <v>212</v>
      </c>
      <c r="D16" s="7" t="s">
        <v>213</v>
      </c>
    </row>
    <row r="17" customFormat="false" ht="15" hidden="false" customHeight="false" outlineLevel="0" collapsed="false">
      <c r="A17" s="5" t="s">
        <v>214</v>
      </c>
      <c r="B17" s="8" t="n">
        <f aca="false">Forutsetninger!$B$51*Forutsetninger!$B$52*Forutsetninger!$B$15/1000000</f>
        <v>39.42</v>
      </c>
      <c r="C17" s="7" t="s">
        <v>11</v>
      </c>
      <c r="D17" s="7" t="s">
        <v>215</v>
      </c>
    </row>
    <row r="18" customFormat="false" ht="15" hidden="false" customHeight="false" outlineLevel="0" collapsed="false">
      <c r="A18" s="5" t="s">
        <v>27</v>
      </c>
      <c r="B18" s="16" t="n">
        <f aca="false">MAX(B9-B17,0)</f>
        <v>0</v>
      </c>
      <c r="C18" s="7" t="s">
        <v>11</v>
      </c>
      <c r="D18" s="7" t="s">
        <v>216</v>
      </c>
    </row>
    <row r="19" customFormat="false" ht="15" hidden="false" customHeight="false" outlineLevel="0" collapsed="false">
      <c r="A19" s="5" t="s">
        <v>217</v>
      </c>
      <c r="B19" s="9" t="n">
        <f aca="false">B7/Forutsetninger!$B$9</f>
        <v>0.219</v>
      </c>
      <c r="C19" s="7" t="s">
        <v>29</v>
      </c>
      <c r="D19" s="7"/>
    </row>
    <row r="20" customFormat="false" ht="15" hidden="false" customHeight="false" outlineLevel="0" collapsed="false">
      <c r="A20" s="5" t="s">
        <v>218</v>
      </c>
      <c r="B20" s="8" t="n">
        <f aca="false">Forutsetninger!$B$7+B7</f>
        <v>33.96</v>
      </c>
      <c r="C20" s="7" t="s">
        <v>11</v>
      </c>
      <c r="D20" s="7"/>
    </row>
    <row r="21" customFormat="false" ht="15" hidden="false" customHeight="false" outlineLevel="0" collapsed="false">
      <c r="A21" s="5" t="s">
        <v>219</v>
      </c>
      <c r="B21" s="18" t="n">
        <f aca="false">B20/Forutsetninger!$B$7</f>
        <v>10.2909090909091</v>
      </c>
      <c r="C21" s="7" t="s">
        <v>220</v>
      </c>
      <c r="D21" s="7" t="s">
        <v>221</v>
      </c>
    </row>
    <row r="22" customFormat="false" ht="15" hidden="false" customHeight="false" outlineLevel="0" collapsed="false">
      <c r="A22" s="5" t="s">
        <v>222</v>
      </c>
      <c r="B22" s="9" t="n">
        <f aca="false">Krav!C6/Forutsetninger!$B$10</f>
        <v>0.2</v>
      </c>
      <c r="C22" s="7" t="s">
        <v>29</v>
      </c>
      <c r="D22" s="7" t="s">
        <v>223</v>
      </c>
    </row>
    <row r="23" customFormat="false" ht="15" hidden="false" customHeight="false" outlineLevel="0" collapsed="false">
      <c r="A23" s="4" t="s">
        <v>224</v>
      </c>
      <c r="B23" s="4"/>
      <c r="C23" s="4"/>
      <c r="D23" s="4"/>
      <c r="E23" s="4"/>
    </row>
    <row r="24" customFormat="false" ht="15" hidden="false" customHeight="false" outlineLevel="0" collapsed="false">
      <c r="A24" s="5" t="s">
        <v>225</v>
      </c>
      <c r="B24" s="8" t="n">
        <f aca="false">B7*1000000000*Forutsetninger!$B$40/1000000000</f>
        <v>18.396</v>
      </c>
      <c r="C24" s="7" t="s">
        <v>40</v>
      </c>
      <c r="D24" s="7" t="s">
        <v>226</v>
      </c>
    </row>
    <row r="25" customFormat="false" ht="23.85" hidden="false" customHeight="false" outlineLevel="0" collapsed="false">
      <c r="A25" s="5" t="s">
        <v>227</v>
      </c>
      <c r="B25" s="17" t="s">
        <v>228</v>
      </c>
      <c r="C25" s="7"/>
      <c r="D25" s="7" t="s">
        <v>229</v>
      </c>
    </row>
    <row r="26" customFormat="false" ht="15" hidden="false" customHeight="false" outlineLevel="0" collapsed="false">
      <c r="A26" s="4" t="s">
        <v>230</v>
      </c>
      <c r="B26" s="4"/>
      <c r="C26" s="4"/>
      <c r="D26" s="4"/>
      <c r="E26" s="4"/>
    </row>
    <row r="27" customFormat="false" ht="15" hidden="false" customHeight="false" outlineLevel="0" collapsed="false">
      <c r="A27" s="5" t="s">
        <v>231</v>
      </c>
      <c r="B27" s="6" t="n">
        <f aca="false">Forutsetninger!$B$16</f>
        <v>4</v>
      </c>
      <c r="C27" s="7" t="s">
        <v>24</v>
      </c>
      <c r="D27" s="7"/>
    </row>
    <row r="28" customFormat="false" ht="15" hidden="false" customHeight="false" outlineLevel="0" collapsed="false">
      <c r="A28" s="5" t="s">
        <v>232</v>
      </c>
      <c r="B28" s="6" t="n">
        <f aca="false">Forutsetninger!$B$12-B27</f>
        <v>96</v>
      </c>
      <c r="C28" s="7" t="s">
        <v>24</v>
      </c>
      <c r="D28" s="7"/>
    </row>
    <row r="29" customFormat="false" ht="15" hidden="false" customHeight="false" outlineLevel="0" collapsed="false">
      <c r="A29" s="5" t="s">
        <v>233</v>
      </c>
      <c r="B29" s="9" t="n">
        <f aca="false">B28/Forutsetninger!$B$12</f>
        <v>0.96</v>
      </c>
      <c r="C29" s="7" t="s">
        <v>29</v>
      </c>
      <c r="D29" s="7"/>
    </row>
    <row r="30" customFormat="false" ht="15" hidden="false" customHeight="false" outlineLevel="0" collapsed="false">
      <c r="A30" s="5" t="s">
        <v>234</v>
      </c>
      <c r="B30" s="8" t="n">
        <f aca="false">B28*Krav!B7</f>
        <v>29.4336</v>
      </c>
      <c r="C30" s="7" t="s">
        <v>11</v>
      </c>
      <c r="D30" s="7"/>
    </row>
    <row r="31" customFormat="false" ht="15" hidden="false" customHeight="false" outlineLevel="0" collapsed="false">
      <c r="A31" s="4" t="s">
        <v>235</v>
      </c>
      <c r="B31" s="4"/>
      <c r="C31" s="4"/>
      <c r="D31" s="4"/>
      <c r="E31" s="4"/>
    </row>
    <row r="32" customFormat="false" ht="15" hidden="false" customHeight="false" outlineLevel="0" collapsed="false">
      <c r="A32" s="5" t="s">
        <v>236</v>
      </c>
      <c r="B32" s="8" t="n">
        <f aca="false">Krav!C13</f>
        <v>5</v>
      </c>
      <c r="C32" s="7" t="s">
        <v>168</v>
      </c>
      <c r="D32" s="7"/>
    </row>
    <row r="33" customFormat="false" ht="15" hidden="false" customHeight="false" outlineLevel="0" collapsed="false">
      <c r="A33" s="5" t="s">
        <v>237</v>
      </c>
      <c r="B33" s="8" t="n">
        <f aca="false">Krav!C14</f>
        <v>78.5398163397448</v>
      </c>
      <c r="C33" s="7" t="s">
        <v>168</v>
      </c>
      <c r="D33" s="7" t="s">
        <v>238</v>
      </c>
    </row>
    <row r="34" customFormat="false" ht="15" hidden="false" customHeight="false" outlineLevel="0" collapsed="false">
      <c r="A34" s="5" t="s">
        <v>239</v>
      </c>
      <c r="B34" s="17" t="n">
        <f aca="false">B32*1000000/7140</f>
        <v>700.280112044818</v>
      </c>
      <c r="C34" s="7" t="s">
        <v>24</v>
      </c>
      <c r="D34" s="7" t="s">
        <v>240</v>
      </c>
    </row>
    <row r="35" customFormat="false" ht="15" hidden="false" customHeight="false" outlineLevel="0" collapsed="false">
      <c r="A35" s="4" t="s">
        <v>241</v>
      </c>
      <c r="B35" s="4"/>
      <c r="C35" s="4"/>
      <c r="D35" s="4"/>
      <c r="E35" s="4"/>
    </row>
    <row r="36" customFormat="false" ht="15" hidden="false" customHeight="false" outlineLevel="0" collapsed="false">
      <c r="A36" s="5" t="s">
        <v>42</v>
      </c>
      <c r="B36" s="6" t="n">
        <f aca="false">Krav!C16</f>
        <v>7000</v>
      </c>
      <c r="C36" s="7" t="s">
        <v>43</v>
      </c>
      <c r="D36" s="7"/>
    </row>
    <row r="37" customFormat="false" ht="15" hidden="false" customHeight="false" outlineLevel="0" collapsed="false">
      <c r="A37" s="5" t="s">
        <v>242</v>
      </c>
      <c r="B37" s="17" t="n">
        <f aca="false">B36/B7</f>
        <v>228.310502283105</v>
      </c>
      <c r="C37" s="7" t="s">
        <v>243</v>
      </c>
      <c r="D37" s="7" t="s">
        <v>244</v>
      </c>
    </row>
    <row r="38" customFormat="false" ht="15" hidden="false" customHeight="false" outlineLevel="0" collapsed="false">
      <c r="A38" s="5" t="s">
        <v>245</v>
      </c>
      <c r="B38" s="6" t="n">
        <f aca="false">Krav!C25</f>
        <v>5000</v>
      </c>
      <c r="C38" s="7" t="s">
        <v>8</v>
      </c>
      <c r="D38" s="7" t="s">
        <v>246</v>
      </c>
    </row>
    <row r="39" customFormat="false" ht="15" hidden="false" customHeight="false" outlineLevel="0" collapsed="false">
      <c r="A39" s="5" t="s">
        <v>247</v>
      </c>
      <c r="B39" s="6" t="n">
        <f aca="false">Krav!C27</f>
        <v>68571.4285714286</v>
      </c>
      <c r="C39" s="7" t="s">
        <v>187</v>
      </c>
      <c r="D39" s="7"/>
    </row>
  </sheetData>
  <mergeCells count="6">
    <mergeCell ref="A1:D1"/>
    <mergeCell ref="A5:E5"/>
    <mergeCell ref="A23:E23"/>
    <mergeCell ref="A26:E26"/>
    <mergeCell ref="A31:E31"/>
    <mergeCell ref="A35:E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5" min="5" style="0" width="50"/>
  </cols>
  <sheetData>
    <row r="1" customFormat="false" ht="17.35" hidden="false" customHeight="false" outlineLevel="0" collapsed="false">
      <c r="A1" s="1" t="s">
        <v>248</v>
      </c>
      <c r="B1" s="1"/>
      <c r="C1" s="1"/>
      <c r="D1" s="1"/>
      <c r="E1" s="1"/>
    </row>
    <row r="2" customFormat="false" ht="15" hidden="false" customHeight="false" outlineLevel="0" collapsed="false">
      <c r="A2" s="2" t="s">
        <v>249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250</v>
      </c>
      <c r="B4" s="3" t="s">
        <v>154</v>
      </c>
      <c r="C4" s="3" t="s">
        <v>155</v>
      </c>
      <c r="D4" s="3" t="s">
        <v>4</v>
      </c>
      <c r="E4" s="3" t="s">
        <v>156</v>
      </c>
    </row>
    <row r="5" customFormat="false" ht="15" hidden="false" customHeight="false" outlineLevel="0" collapsed="false">
      <c r="A5" s="4" t="s">
        <v>251</v>
      </c>
      <c r="B5" s="4"/>
      <c r="C5" s="4"/>
      <c r="D5" s="4"/>
      <c r="E5" s="4"/>
    </row>
    <row r="6" customFormat="false" ht="15" hidden="false" customHeight="false" outlineLevel="0" collapsed="false">
      <c r="A6" s="5" t="s">
        <v>252</v>
      </c>
      <c r="B6" s="8" t="n">
        <f aca="false">Krav!B22*Forutsetninger!$B$38*Forutsetninger!$B$37</f>
        <v>18.025</v>
      </c>
      <c r="C6" s="15" t="n">
        <f aca="false">B6*Forutsetninger!$B$12</f>
        <v>1802.5</v>
      </c>
      <c r="D6" s="7" t="s">
        <v>47</v>
      </c>
      <c r="E6" s="7" t="s">
        <v>253</v>
      </c>
    </row>
    <row r="7" customFormat="false" ht="15" hidden="false" customHeight="false" outlineLevel="0" collapsed="false">
      <c r="A7" s="5" t="s">
        <v>254</v>
      </c>
      <c r="B7" s="8" t="n">
        <f aca="false">Krav!B16*Forutsetninger!$B$24/1000000</f>
        <v>56</v>
      </c>
      <c r="C7" s="15" t="n">
        <f aca="false">B7*Forutsetninger!$B$12</f>
        <v>5600</v>
      </c>
      <c r="D7" s="7" t="s">
        <v>47</v>
      </c>
      <c r="E7" s="7"/>
    </row>
    <row r="8" customFormat="false" ht="15" hidden="false" customHeight="false" outlineLevel="0" collapsed="false">
      <c r="A8" s="5" t="s">
        <v>255</v>
      </c>
      <c r="B8" s="16" t="n">
        <f aca="false">B7*0.3</f>
        <v>16.8</v>
      </c>
      <c r="C8" s="15" t="n">
        <f aca="false">C7*0.3</f>
        <v>1680</v>
      </c>
      <c r="D8" s="7" t="s">
        <v>47</v>
      </c>
      <c r="E8" s="7" t="s">
        <v>256</v>
      </c>
    </row>
    <row r="9" customFormat="false" ht="15" hidden="false" customHeight="false" outlineLevel="0" collapsed="false">
      <c r="A9" s="4" t="s">
        <v>257</v>
      </c>
      <c r="B9" s="4"/>
      <c r="C9" s="4"/>
      <c r="D9" s="4"/>
      <c r="E9" s="4"/>
    </row>
    <row r="10" customFormat="false" ht="15" hidden="false" customHeight="false" outlineLevel="0" collapsed="false">
      <c r="A10" s="5" t="s">
        <v>258</v>
      </c>
      <c r="B10" s="6" t="n">
        <f aca="false">Krav!B22</f>
        <v>5150</v>
      </c>
      <c r="C10" s="14" t="n">
        <f aca="false">Krav!C22</f>
        <v>515000</v>
      </c>
      <c r="D10" s="7" t="s">
        <v>103</v>
      </c>
      <c r="E10" s="7" t="s">
        <v>259</v>
      </c>
    </row>
    <row r="11" customFormat="false" ht="15" hidden="false" customHeight="false" outlineLevel="0" collapsed="false">
      <c r="A11" s="5" t="s">
        <v>260</v>
      </c>
      <c r="B11" s="6" t="n">
        <f aca="false">Krav!B17</f>
        <v>300</v>
      </c>
      <c r="C11" s="14" t="n">
        <f aca="false">Krav!C17</f>
        <v>30000</v>
      </c>
      <c r="D11" s="7" t="s">
        <v>43</v>
      </c>
      <c r="E11" s="7" t="s">
        <v>261</v>
      </c>
    </row>
    <row r="12" customFormat="false" ht="15" hidden="false" customHeight="false" outlineLevel="0" collapsed="false">
      <c r="A12" s="4" t="s">
        <v>262</v>
      </c>
      <c r="B12" s="4"/>
      <c r="C12" s="4"/>
      <c r="D12" s="4"/>
      <c r="E12" s="4"/>
    </row>
    <row r="13" customFormat="false" ht="15" hidden="false" customHeight="false" outlineLevel="0" collapsed="false">
      <c r="A13" s="5" t="s">
        <v>263</v>
      </c>
      <c r="B13" s="8" t="n">
        <f aca="false">Krav!B7*Forutsetninger!$B$39*1000</f>
        <v>91.98</v>
      </c>
      <c r="C13" s="15" t="n">
        <f aca="false">B13*Forutsetninger!$B$12</f>
        <v>9198</v>
      </c>
      <c r="D13" s="7" t="s">
        <v>50</v>
      </c>
      <c r="E13" s="7" t="s">
        <v>264</v>
      </c>
    </row>
    <row r="14" customFormat="false" ht="15" hidden="false" customHeight="false" outlineLevel="0" collapsed="false">
      <c r="A14" s="5" t="s">
        <v>265</v>
      </c>
      <c r="B14" s="17" t="n">
        <f aca="false">B13*1000000/20000</f>
        <v>4599</v>
      </c>
      <c r="C14" s="14" t="n">
        <f aca="false">C13*1000000/20000</f>
        <v>459900</v>
      </c>
      <c r="D14" s="7" t="s">
        <v>176</v>
      </c>
      <c r="E14" s="7"/>
    </row>
    <row r="15" customFormat="false" ht="15" hidden="false" customHeight="false" outlineLevel="0" collapsed="false">
      <c r="A15" s="4" t="s">
        <v>266</v>
      </c>
      <c r="B15" s="4"/>
      <c r="C15" s="4"/>
      <c r="D15" s="4"/>
      <c r="E15" s="4"/>
    </row>
    <row r="16" customFormat="false" ht="15" hidden="false" customHeight="false" outlineLevel="0" collapsed="false">
      <c r="A16" s="5" t="s">
        <v>267</v>
      </c>
      <c r="B16" s="8" t="n">
        <f aca="false">Krav!B7*1000000000*Forutsetninger!$B$40/1000000</f>
        <v>183.96</v>
      </c>
      <c r="C16" s="15" t="n">
        <f aca="false">B16*Forutsetninger!$B$12</f>
        <v>18396</v>
      </c>
      <c r="D16" s="7" t="s">
        <v>47</v>
      </c>
      <c r="E16" s="7" t="s">
        <v>268</v>
      </c>
    </row>
    <row r="17" customFormat="false" ht="15" hidden="false" customHeight="false" outlineLevel="0" collapsed="false">
      <c r="A17" s="19" t="s">
        <v>269</v>
      </c>
      <c r="B17" s="20" t="n">
        <f aca="false">B6+B7</f>
        <v>74.025</v>
      </c>
      <c r="C17" s="21" t="n">
        <f aca="false">C6+C7</f>
        <v>7402.5</v>
      </c>
      <c r="D17" s="22" t="s">
        <v>47</v>
      </c>
      <c r="E17" s="22"/>
    </row>
  </sheetData>
  <mergeCells count="6">
    <mergeCell ref="A1:E1"/>
    <mergeCell ref="A2:E2"/>
    <mergeCell ref="A5:E5"/>
    <mergeCell ref="A9:E9"/>
    <mergeCell ref="A12:E12"/>
    <mergeCell ref="A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6" min="2" style="0" width="12"/>
  </cols>
  <sheetData>
    <row r="1" customFormat="false" ht="17.35" hidden="false" customHeight="false" outlineLevel="0" collapsed="false">
      <c r="A1" s="1" t="s">
        <v>270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271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23" t="s">
        <v>272</v>
      </c>
      <c r="B4" s="24" t="n">
        <v>25</v>
      </c>
      <c r="C4" s="24" t="n">
        <v>50</v>
      </c>
      <c r="D4" s="24" t="n">
        <v>75</v>
      </c>
      <c r="E4" s="24" t="n">
        <v>100</v>
      </c>
      <c r="F4" s="24" t="n">
        <v>150</v>
      </c>
    </row>
    <row r="5" customFormat="false" ht="15" hidden="false" customHeight="false" outlineLevel="0" collapsed="false">
      <c r="A5" s="24" t="n">
        <v>10</v>
      </c>
      <c r="B5" s="25" t="n">
        <f aca="false">$A5*B$4*Forutsetninger!$B$14*Forutsetninger!$B$15/1000000</f>
        <v>1.533</v>
      </c>
      <c r="C5" s="25" t="n">
        <f aca="false">$A5*C$4*Forutsetninger!$B$14*Forutsetninger!$B$15/1000000</f>
        <v>3.066</v>
      </c>
      <c r="D5" s="25" t="n">
        <f aca="false">$A5*D$4*Forutsetninger!$B$14*Forutsetninger!$B$15/1000000</f>
        <v>4.599</v>
      </c>
      <c r="E5" s="25" t="n">
        <f aca="false">$A5*E$4*Forutsetninger!$B$14*Forutsetninger!$B$15/1000000</f>
        <v>6.132</v>
      </c>
      <c r="F5" s="25" t="n">
        <f aca="false">$A5*F$4*Forutsetninger!$B$14*Forutsetninger!$B$15/1000000</f>
        <v>9.198</v>
      </c>
    </row>
    <row r="6" customFormat="false" ht="15" hidden="false" customHeight="false" outlineLevel="0" collapsed="false">
      <c r="A6" s="24" t="n">
        <v>25</v>
      </c>
      <c r="B6" s="25" t="n">
        <f aca="false">$A6*B$4*Forutsetninger!$B$14*Forutsetninger!$B$15/1000000</f>
        <v>3.8325</v>
      </c>
      <c r="C6" s="25" t="n">
        <f aca="false">$A6*C$4*Forutsetninger!$B$14*Forutsetninger!$B$15/1000000</f>
        <v>7.665</v>
      </c>
      <c r="D6" s="25" t="n">
        <f aca="false">$A6*D$4*Forutsetninger!$B$14*Forutsetninger!$B$15/1000000</f>
        <v>11.4975</v>
      </c>
      <c r="E6" s="25" t="n">
        <f aca="false">$A6*E$4*Forutsetninger!$B$14*Forutsetninger!$B$15/1000000</f>
        <v>15.33</v>
      </c>
      <c r="F6" s="25" t="n">
        <f aca="false">$A6*F$4*Forutsetninger!$B$14*Forutsetninger!$B$15/1000000</f>
        <v>22.995</v>
      </c>
    </row>
    <row r="7" customFormat="false" ht="15" hidden="false" customHeight="false" outlineLevel="0" collapsed="false">
      <c r="A7" s="24" t="n">
        <v>50</v>
      </c>
      <c r="B7" s="25" t="n">
        <f aca="false">$A7*B$4*Forutsetninger!$B$14*Forutsetninger!$B$15/1000000</f>
        <v>7.665</v>
      </c>
      <c r="C7" s="25" t="n">
        <f aca="false">$A7*C$4*Forutsetninger!$B$14*Forutsetninger!$B$15/1000000</f>
        <v>15.33</v>
      </c>
      <c r="D7" s="25" t="n">
        <f aca="false">$A7*D$4*Forutsetninger!$B$14*Forutsetninger!$B$15/1000000</f>
        <v>22.995</v>
      </c>
      <c r="E7" s="25" t="n">
        <f aca="false">$A7*E$4*Forutsetninger!$B$14*Forutsetninger!$B$15/1000000</f>
        <v>30.66</v>
      </c>
      <c r="F7" s="25" t="n">
        <f aca="false">$A7*F$4*Forutsetninger!$B$14*Forutsetninger!$B$15/1000000</f>
        <v>45.99</v>
      </c>
    </row>
    <row r="8" customFormat="false" ht="15" hidden="false" customHeight="false" outlineLevel="0" collapsed="false">
      <c r="A8" s="24" t="n">
        <v>75</v>
      </c>
      <c r="B8" s="25" t="n">
        <f aca="false">$A8*B$4*Forutsetninger!$B$14*Forutsetninger!$B$15/1000000</f>
        <v>11.4975</v>
      </c>
      <c r="C8" s="25" t="n">
        <f aca="false">$A8*C$4*Forutsetninger!$B$14*Forutsetninger!$B$15/1000000</f>
        <v>22.995</v>
      </c>
      <c r="D8" s="25" t="n">
        <f aca="false">$A8*D$4*Forutsetninger!$B$14*Forutsetninger!$B$15/1000000</f>
        <v>34.4925</v>
      </c>
      <c r="E8" s="25" t="n">
        <f aca="false">$A8*E$4*Forutsetninger!$B$14*Forutsetninger!$B$15/1000000</f>
        <v>45.99</v>
      </c>
      <c r="F8" s="25" t="n">
        <f aca="false">$A8*F$4*Forutsetninger!$B$14*Forutsetninger!$B$15/1000000</f>
        <v>68.985</v>
      </c>
    </row>
    <row r="9" customFormat="false" ht="15" hidden="false" customHeight="false" outlineLevel="0" collapsed="false">
      <c r="A9" s="24" t="n">
        <v>100</v>
      </c>
      <c r="B9" s="25" t="n">
        <f aca="false">$A9*B$4*Forutsetninger!$B$14*Forutsetninger!$B$15/1000000</f>
        <v>15.33</v>
      </c>
      <c r="C9" s="25" t="n">
        <f aca="false">$A9*C$4*Forutsetninger!$B$14*Forutsetninger!$B$15/1000000</f>
        <v>30.66</v>
      </c>
      <c r="D9" s="25" t="n">
        <f aca="false">$A9*D$4*Forutsetninger!$B$14*Forutsetninger!$B$15/1000000</f>
        <v>45.99</v>
      </c>
      <c r="E9" s="25" t="n">
        <f aca="false">$A9*E$4*Forutsetninger!$B$14*Forutsetninger!$B$15/1000000</f>
        <v>61.32</v>
      </c>
      <c r="F9" s="25" t="n">
        <f aca="false">$A9*F$4*Forutsetninger!$B$14*Forutsetninger!$B$15/1000000</f>
        <v>91.98</v>
      </c>
    </row>
    <row r="11" customFormat="false" ht="15" hidden="false" customHeight="false" outlineLevel="0" collapsed="false">
      <c r="A11" s="26" t="s">
        <v>273</v>
      </c>
    </row>
    <row r="12" customFormat="false" ht="15" hidden="false" customHeight="false" outlineLevel="0" collapsed="false">
      <c r="A12" s="23" t="s">
        <v>272</v>
      </c>
      <c r="B12" s="27" t="n">
        <f aca="false">B4</f>
        <v>25</v>
      </c>
      <c r="C12" s="27" t="n">
        <f aca="false">C4</f>
        <v>50</v>
      </c>
      <c r="D12" s="27" t="n">
        <f aca="false">D4</f>
        <v>75</v>
      </c>
      <c r="E12" s="27" t="n">
        <f aca="false">E4</f>
        <v>100</v>
      </c>
      <c r="F12" s="27" t="n">
        <f aca="false">F4</f>
        <v>150</v>
      </c>
    </row>
    <row r="13" customFormat="false" ht="15" hidden="false" customHeight="false" outlineLevel="0" collapsed="false">
      <c r="A13" s="27" t="n">
        <f aca="false">A5</f>
        <v>10</v>
      </c>
      <c r="B13" s="28" t="n">
        <f aca="false">Forutsetninger!$B$8-Forutsetninger!$B$9-B5</f>
        <v>13.467</v>
      </c>
      <c r="C13" s="28" t="n">
        <f aca="false">Forutsetninger!$B$8-Forutsetninger!$B$9-C5</f>
        <v>11.934</v>
      </c>
      <c r="D13" s="28" t="n">
        <f aca="false">Forutsetninger!$B$8-Forutsetninger!$B$9-D5</f>
        <v>10.401</v>
      </c>
      <c r="E13" s="28" t="n">
        <f aca="false">Forutsetninger!$B$8-Forutsetninger!$B$9-E5</f>
        <v>8.868</v>
      </c>
      <c r="F13" s="28" t="n">
        <f aca="false">Forutsetninger!$B$8-Forutsetninger!$B$9-F5</f>
        <v>5.802</v>
      </c>
    </row>
    <row r="14" customFormat="false" ht="15" hidden="false" customHeight="false" outlineLevel="0" collapsed="false">
      <c r="A14" s="27" t="n">
        <f aca="false">A6</f>
        <v>25</v>
      </c>
      <c r="B14" s="28" t="n">
        <f aca="false">Forutsetninger!$B$8-Forutsetninger!$B$9-B6</f>
        <v>11.1675</v>
      </c>
      <c r="C14" s="28" t="n">
        <f aca="false">Forutsetninger!$B$8-Forutsetninger!$B$9-C6</f>
        <v>7.335</v>
      </c>
      <c r="D14" s="28" t="n">
        <f aca="false">Forutsetninger!$B$8-Forutsetninger!$B$9-D6</f>
        <v>3.5025</v>
      </c>
      <c r="E14" s="28" t="n">
        <f aca="false">Forutsetninger!$B$8-Forutsetninger!$B$9-E6</f>
        <v>-0.33</v>
      </c>
      <c r="F14" s="28" t="n">
        <f aca="false">Forutsetninger!$B$8-Forutsetninger!$B$9-F6</f>
        <v>-7.995</v>
      </c>
    </row>
    <row r="15" customFormat="false" ht="15" hidden="false" customHeight="false" outlineLevel="0" collapsed="false">
      <c r="A15" s="27" t="n">
        <f aca="false">A7</f>
        <v>50</v>
      </c>
      <c r="B15" s="28" t="n">
        <f aca="false">Forutsetninger!$B$8-Forutsetninger!$B$9-B7</f>
        <v>7.335</v>
      </c>
      <c r="C15" s="28" t="n">
        <f aca="false">Forutsetninger!$B$8-Forutsetninger!$B$9-C7</f>
        <v>-0.33</v>
      </c>
      <c r="D15" s="28" t="n">
        <f aca="false">Forutsetninger!$B$8-Forutsetninger!$B$9-D7</f>
        <v>-7.995</v>
      </c>
      <c r="E15" s="28" t="n">
        <f aca="false">Forutsetninger!$B$8-Forutsetninger!$B$9-E7</f>
        <v>-15.66</v>
      </c>
      <c r="F15" s="28" t="n">
        <f aca="false">Forutsetninger!$B$8-Forutsetninger!$B$9-F7</f>
        <v>-30.99</v>
      </c>
    </row>
    <row r="16" customFormat="false" ht="15" hidden="false" customHeight="false" outlineLevel="0" collapsed="false">
      <c r="A16" s="27" t="n">
        <f aca="false">A8</f>
        <v>75</v>
      </c>
      <c r="B16" s="28" t="n">
        <f aca="false">Forutsetninger!$B$8-Forutsetninger!$B$9-B8</f>
        <v>3.5025</v>
      </c>
      <c r="C16" s="28" t="n">
        <f aca="false">Forutsetninger!$B$8-Forutsetninger!$B$9-C8</f>
        <v>-7.995</v>
      </c>
      <c r="D16" s="28" t="n">
        <f aca="false">Forutsetninger!$B$8-Forutsetninger!$B$9-D8</f>
        <v>-19.4925</v>
      </c>
      <c r="E16" s="28" t="n">
        <f aca="false">Forutsetninger!$B$8-Forutsetninger!$B$9-E8</f>
        <v>-30.99</v>
      </c>
      <c r="F16" s="28" t="n">
        <f aca="false">Forutsetninger!$B$8-Forutsetninger!$B$9-F8</f>
        <v>-53.985</v>
      </c>
    </row>
    <row r="17" customFormat="false" ht="15" hidden="false" customHeight="false" outlineLevel="0" collapsed="false">
      <c r="A17" s="27" t="n">
        <f aca="false">A9</f>
        <v>100</v>
      </c>
      <c r="B17" s="28" t="n">
        <f aca="false">Forutsetninger!$B$8-Forutsetninger!$B$9-B9</f>
        <v>-0.33</v>
      </c>
      <c r="C17" s="28" t="n">
        <f aca="false">Forutsetninger!$B$8-Forutsetninger!$B$9-C9</f>
        <v>-15.66</v>
      </c>
      <c r="D17" s="28" t="n">
        <f aca="false">Forutsetninger!$B$8-Forutsetninger!$B$9-D9</f>
        <v>-30.99</v>
      </c>
      <c r="E17" s="28" t="n">
        <f aca="false">Forutsetninger!$B$8-Forutsetninger!$B$9-E9</f>
        <v>-46.32</v>
      </c>
      <c r="F17" s="28" t="n">
        <f aca="false">Forutsetninger!$B$8-Forutsetninger!$B$9-F9</f>
        <v>-76.98</v>
      </c>
    </row>
    <row r="19" customFormat="false" ht="15" hidden="false" customHeight="false" outlineLevel="0" collapsed="false">
      <c r="A19" s="26" t="s">
        <v>274</v>
      </c>
    </row>
    <row r="20" customFormat="false" ht="15" hidden="false" customHeight="false" outlineLevel="0" collapsed="false">
      <c r="A20" s="23" t="s">
        <v>275</v>
      </c>
      <c r="B20" s="24" t="n">
        <v>50</v>
      </c>
      <c r="C20" s="24" t="n">
        <v>70</v>
      </c>
      <c r="D20" s="24" t="n">
        <v>100</v>
      </c>
      <c r="E20" s="24" t="n">
        <v>150</v>
      </c>
    </row>
    <row r="21" customFormat="false" ht="15" hidden="false" customHeight="false" outlineLevel="0" collapsed="false">
      <c r="A21" s="27" t="n">
        <f aca="false">A5</f>
        <v>10</v>
      </c>
      <c r="B21" s="29" t="n">
        <f aca="false">$A21*B$20</f>
        <v>500</v>
      </c>
      <c r="C21" s="29" t="n">
        <f aca="false">$A21*C$20</f>
        <v>700</v>
      </c>
      <c r="D21" s="29" t="n">
        <f aca="false">$A21*D$20</f>
        <v>1000</v>
      </c>
      <c r="E21" s="29" t="n">
        <f aca="false">$A21*E$20</f>
        <v>1500</v>
      </c>
    </row>
    <row r="22" customFormat="false" ht="15" hidden="false" customHeight="false" outlineLevel="0" collapsed="false">
      <c r="A22" s="27" t="n">
        <f aca="false">A6</f>
        <v>25</v>
      </c>
      <c r="B22" s="29" t="n">
        <f aca="false">$A22*B$20</f>
        <v>1250</v>
      </c>
      <c r="C22" s="29" t="n">
        <f aca="false">$A22*C$20</f>
        <v>1750</v>
      </c>
      <c r="D22" s="29" t="n">
        <f aca="false">$A22*D$20</f>
        <v>2500</v>
      </c>
      <c r="E22" s="29" t="n">
        <f aca="false">$A22*E$20</f>
        <v>3750</v>
      </c>
    </row>
    <row r="23" customFormat="false" ht="15" hidden="false" customHeight="false" outlineLevel="0" collapsed="false">
      <c r="A23" s="27" t="n">
        <f aca="false">A7</f>
        <v>50</v>
      </c>
      <c r="B23" s="29" t="n">
        <f aca="false">$A23*B$20</f>
        <v>2500</v>
      </c>
      <c r="C23" s="29" t="n">
        <f aca="false">$A23*C$20</f>
        <v>3500</v>
      </c>
      <c r="D23" s="29" t="n">
        <f aca="false">$A23*D$20</f>
        <v>5000</v>
      </c>
      <c r="E23" s="29" t="n">
        <f aca="false">$A23*E$20</f>
        <v>7500</v>
      </c>
    </row>
    <row r="24" customFormat="false" ht="15" hidden="false" customHeight="false" outlineLevel="0" collapsed="false">
      <c r="A24" s="27" t="n">
        <f aca="false">A8</f>
        <v>75</v>
      </c>
      <c r="B24" s="29" t="n">
        <f aca="false">$A24*B$20</f>
        <v>3750</v>
      </c>
      <c r="C24" s="29" t="n">
        <f aca="false">$A24*C$20</f>
        <v>5250</v>
      </c>
      <c r="D24" s="29" t="n">
        <f aca="false">$A24*D$20</f>
        <v>7500</v>
      </c>
      <c r="E24" s="29" t="n">
        <f aca="false">$A24*E$20</f>
        <v>11250</v>
      </c>
    </row>
    <row r="25" customFormat="false" ht="15" hidden="false" customHeight="false" outlineLevel="0" collapsed="false">
      <c r="A25" s="27" t="n">
        <f aca="false">A9</f>
        <v>100</v>
      </c>
      <c r="B25" s="29" t="n">
        <f aca="false">$A25*B$20</f>
        <v>5000</v>
      </c>
      <c r="C25" s="29" t="n">
        <f aca="false">$A25*C$20</f>
        <v>7000</v>
      </c>
      <c r="D25" s="29" t="n">
        <f aca="false">$A25*D$20</f>
        <v>10000</v>
      </c>
      <c r="E25" s="29" t="n">
        <f aca="false">$A25*E$20</f>
        <v>15000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80"/>
  </cols>
  <sheetData>
    <row r="1" customFormat="false" ht="17.35" hidden="false" customHeight="false" outlineLevel="0" collapsed="false">
      <c r="A1" s="1" t="s">
        <v>276</v>
      </c>
      <c r="B1" s="1"/>
      <c r="C1" s="1"/>
      <c r="D1" s="1"/>
    </row>
    <row r="2" customFormat="false" ht="15" hidden="false" customHeight="false" outlineLevel="0" collapsed="false">
      <c r="A2" s="2" t="s">
        <v>277</v>
      </c>
      <c r="B2" s="2"/>
      <c r="C2" s="2"/>
      <c r="D2" s="2"/>
    </row>
    <row r="4" customFormat="false" ht="15" hidden="false" customHeight="false" outlineLevel="0" collapsed="false">
      <c r="A4" s="3" t="s">
        <v>54</v>
      </c>
      <c r="B4" s="3" t="s">
        <v>3</v>
      </c>
      <c r="C4" s="3" t="s">
        <v>4</v>
      </c>
      <c r="D4" s="3" t="s">
        <v>156</v>
      </c>
    </row>
    <row r="5" customFormat="false" ht="15" hidden="false" customHeight="false" outlineLevel="0" collapsed="false">
      <c r="A5" s="4" t="s">
        <v>278</v>
      </c>
      <c r="B5" s="4"/>
      <c r="C5" s="4"/>
      <c r="D5" s="4"/>
      <c r="E5" s="4"/>
    </row>
    <row r="6" customFormat="false" ht="15" hidden="false" customHeight="false" outlineLevel="0" collapsed="false">
      <c r="A6" s="5" t="s">
        <v>279</v>
      </c>
      <c r="B6" s="30" t="n">
        <v>0.6</v>
      </c>
      <c r="C6" s="7" t="s">
        <v>124</v>
      </c>
      <c r="D6" s="7" t="s">
        <v>280</v>
      </c>
    </row>
    <row r="7" customFormat="false" ht="15" hidden="false" customHeight="false" outlineLevel="0" collapsed="false">
      <c r="A7" s="5" t="s">
        <v>281</v>
      </c>
      <c r="B7" s="30" t="n">
        <v>0.006</v>
      </c>
      <c r="C7" s="7" t="s">
        <v>282</v>
      </c>
      <c r="D7" s="7" t="s">
        <v>283</v>
      </c>
    </row>
    <row r="8" customFormat="false" ht="15" hidden="false" customHeight="false" outlineLevel="0" collapsed="false">
      <c r="A8" s="5" t="s">
        <v>284</v>
      </c>
      <c r="B8" s="31" t="n">
        <v>35</v>
      </c>
      <c r="C8" s="7" t="s">
        <v>285</v>
      </c>
      <c r="D8" s="7" t="s">
        <v>286</v>
      </c>
    </row>
    <row r="9" customFormat="false" ht="15" hidden="false" customHeight="false" outlineLevel="0" collapsed="false">
      <c r="A9" s="5" t="s">
        <v>287</v>
      </c>
      <c r="B9" s="12" t="n">
        <v>70</v>
      </c>
      <c r="C9" s="7" t="s">
        <v>288</v>
      </c>
      <c r="D9" s="7" t="s">
        <v>289</v>
      </c>
    </row>
    <row r="10" customFormat="false" ht="15" hidden="false" customHeight="false" outlineLevel="0" collapsed="false">
      <c r="A10" s="5" t="s">
        <v>290</v>
      </c>
      <c r="B10" s="31" t="n">
        <v>5</v>
      </c>
      <c r="C10" s="7" t="s">
        <v>285</v>
      </c>
      <c r="D10" s="7" t="s">
        <v>94</v>
      </c>
    </row>
    <row r="11" customFormat="false" ht="15" hidden="false" customHeight="false" outlineLevel="0" collapsed="false">
      <c r="A11" s="5" t="s">
        <v>291</v>
      </c>
      <c r="B11" s="12" t="n">
        <v>11.5</v>
      </c>
      <c r="C11" s="7" t="s">
        <v>292</v>
      </c>
      <c r="D11" s="7" t="s">
        <v>289</v>
      </c>
    </row>
    <row r="12" customFormat="false" ht="15" hidden="false" customHeight="false" outlineLevel="0" collapsed="false">
      <c r="A12" s="5" t="s">
        <v>293</v>
      </c>
      <c r="B12" s="12" t="n">
        <v>16000</v>
      </c>
      <c r="C12" s="7" t="s">
        <v>294</v>
      </c>
      <c r="D12" s="7" t="s">
        <v>295</v>
      </c>
    </row>
    <row r="13" customFormat="false" ht="15" hidden="false" customHeight="false" outlineLevel="0" collapsed="false">
      <c r="A13" s="5" t="s">
        <v>296</v>
      </c>
      <c r="B13" s="13" t="n">
        <v>1</v>
      </c>
      <c r="C13" s="7" t="s">
        <v>29</v>
      </c>
      <c r="D13" s="7" t="s">
        <v>297</v>
      </c>
    </row>
    <row r="14" customFormat="false" ht="15" hidden="false" customHeight="false" outlineLevel="0" collapsed="false">
      <c r="A14" s="5" t="s">
        <v>298</v>
      </c>
      <c r="B14" s="31" t="n">
        <v>35</v>
      </c>
      <c r="C14" s="7" t="s">
        <v>11</v>
      </c>
      <c r="D14" s="7" t="s">
        <v>144</v>
      </c>
    </row>
    <row r="15" customFormat="false" ht="15" hidden="false" customHeight="false" outlineLevel="0" collapsed="false">
      <c r="A15" s="4" t="s">
        <v>299</v>
      </c>
      <c r="B15" s="4"/>
      <c r="C15" s="4"/>
      <c r="D15" s="4"/>
      <c r="E15" s="4"/>
    </row>
    <row r="16" customFormat="false" ht="15" hidden="false" customHeight="false" outlineLevel="0" collapsed="false">
      <c r="A16" s="5" t="s">
        <v>300</v>
      </c>
      <c r="B16" s="8" t="n">
        <f aca="false">Krav!C7</f>
        <v>30.66</v>
      </c>
      <c r="C16" s="7" t="s">
        <v>11</v>
      </c>
      <c r="D16" s="7"/>
    </row>
    <row r="17" customFormat="false" ht="15" hidden="false" customHeight="false" outlineLevel="0" collapsed="false">
      <c r="A17" s="5" t="s">
        <v>301</v>
      </c>
      <c r="B17" s="32" t="n">
        <f aca="false">B16*B7</f>
        <v>0.18396</v>
      </c>
      <c r="C17" s="7" t="s">
        <v>124</v>
      </c>
      <c r="D17" s="7" t="s">
        <v>302</v>
      </c>
    </row>
    <row r="18" customFormat="false" ht="15" hidden="false" customHeight="false" outlineLevel="0" collapsed="false">
      <c r="A18" s="5" t="s">
        <v>303</v>
      </c>
      <c r="B18" s="32" t="n">
        <f aca="false">B6+B17</f>
        <v>0.78396</v>
      </c>
      <c r="C18" s="7" t="s">
        <v>124</v>
      </c>
      <c r="D18" s="7"/>
    </row>
    <row r="19" customFormat="false" ht="15" hidden="false" customHeight="false" outlineLevel="0" collapsed="false">
      <c r="A19" s="4" t="s">
        <v>304</v>
      </c>
      <c r="B19" s="4"/>
      <c r="C19" s="4"/>
      <c r="D19" s="4"/>
      <c r="E19" s="4"/>
    </row>
    <row r="20" customFormat="false" ht="15" hidden="false" customHeight="false" outlineLevel="0" collapsed="false">
      <c r="A20" s="5" t="s">
        <v>305</v>
      </c>
      <c r="B20" s="8" t="n">
        <f aca="false">B8/Forutsetninger!$B$44</f>
        <v>60.3448275862069</v>
      </c>
      <c r="C20" s="7" t="s">
        <v>285</v>
      </c>
      <c r="D20" s="7" t="s">
        <v>306</v>
      </c>
    </row>
    <row r="21" customFormat="false" ht="15" hidden="false" customHeight="false" outlineLevel="0" collapsed="false">
      <c r="A21" s="5" t="s">
        <v>307</v>
      </c>
      <c r="B21" s="8" t="n">
        <f aca="false">B9*Forutsetninger!$B$45</f>
        <v>24.5</v>
      </c>
      <c r="C21" s="7" t="s">
        <v>285</v>
      </c>
      <c r="D21" s="7" t="s">
        <v>308</v>
      </c>
    </row>
    <row r="22" customFormat="false" ht="15" hidden="false" customHeight="false" outlineLevel="0" collapsed="false">
      <c r="A22" s="5" t="s">
        <v>309</v>
      </c>
      <c r="B22" s="16" t="n">
        <f aca="false">B20+B21+B10</f>
        <v>89.8448275862069</v>
      </c>
      <c r="C22" s="7" t="s">
        <v>285</v>
      </c>
      <c r="D22" s="7"/>
    </row>
    <row r="23" customFormat="false" ht="15" hidden="false" customHeight="false" outlineLevel="0" collapsed="false">
      <c r="A23" s="5" t="s">
        <v>309</v>
      </c>
      <c r="B23" s="32" t="n">
        <f aca="false">B22*B11/1000</f>
        <v>1.03321551724138</v>
      </c>
      <c r="C23" s="7" t="s">
        <v>124</v>
      </c>
      <c r="D23" s="7" t="s">
        <v>310</v>
      </c>
    </row>
    <row r="24" customFormat="false" ht="15" hidden="false" customHeight="false" outlineLevel="0" collapsed="false">
      <c r="A24" s="5" t="s">
        <v>20</v>
      </c>
      <c r="B24" s="8" t="n">
        <f aca="false">Konsekvenser!B8</f>
        <v>-15.66</v>
      </c>
      <c r="C24" s="7" t="s">
        <v>11</v>
      </c>
      <c r="D24" s="7"/>
    </row>
    <row r="25" customFormat="false" ht="15" hidden="false" customHeight="false" outlineLevel="0" collapsed="false">
      <c r="A25" s="5" t="s">
        <v>303</v>
      </c>
      <c r="B25" s="32" t="n">
        <f aca="false">IF(B24&lt;0,MAX(B6,B23),B6)</f>
        <v>1.03321551724138</v>
      </c>
      <c r="C25" s="7" t="s">
        <v>124</v>
      </c>
      <c r="D25" s="7" t="s">
        <v>311</v>
      </c>
    </row>
    <row r="26" customFormat="false" ht="15" hidden="false" customHeight="false" outlineLevel="0" collapsed="false">
      <c r="A26" s="5" t="s">
        <v>301</v>
      </c>
      <c r="B26" s="32" t="n">
        <f aca="false">B25-B6</f>
        <v>0.433215517241379</v>
      </c>
      <c r="C26" s="7" t="s">
        <v>124</v>
      </c>
      <c r="D26" s="7"/>
    </row>
    <row r="27" customFormat="false" ht="15" hidden="false" customHeight="false" outlineLevel="0" collapsed="false">
      <c r="A27" s="4" t="s">
        <v>312</v>
      </c>
      <c r="B27" s="4"/>
      <c r="C27" s="4"/>
      <c r="D27" s="4"/>
      <c r="E27" s="4"/>
    </row>
    <row r="28" customFormat="false" ht="15" hidden="false" customHeight="false" outlineLevel="0" collapsed="false">
      <c r="A28" s="5" t="s">
        <v>313</v>
      </c>
      <c r="B28" s="32" t="n">
        <f aca="false">MIN(B17,B26)</f>
        <v>0.18396</v>
      </c>
      <c r="C28" s="7" t="s">
        <v>124</v>
      </c>
      <c r="D28" s="7"/>
    </row>
    <row r="29" customFormat="false" ht="15" hidden="false" customHeight="false" outlineLevel="0" collapsed="false">
      <c r="A29" s="5" t="s">
        <v>314</v>
      </c>
      <c r="B29" s="32" t="n">
        <f aca="false">MAX(B17,B26)</f>
        <v>0.433215517241379</v>
      </c>
      <c r="C29" s="7" t="s">
        <v>124</v>
      </c>
      <c r="D29" s="7"/>
    </row>
    <row r="30" customFormat="false" ht="15" hidden="false" customHeight="false" outlineLevel="0" collapsed="false">
      <c r="A30" s="5" t="s">
        <v>314</v>
      </c>
      <c r="B30" s="16" t="n">
        <f aca="false">B29*100</f>
        <v>43.3215517241379</v>
      </c>
      <c r="C30" s="7" t="s">
        <v>34</v>
      </c>
      <c r="D30" s="7"/>
    </row>
    <row r="31" customFormat="false" ht="15" hidden="false" customHeight="false" outlineLevel="0" collapsed="false">
      <c r="A31" s="4" t="s">
        <v>315</v>
      </c>
      <c r="B31" s="4"/>
      <c r="C31" s="4"/>
      <c r="D31" s="4"/>
      <c r="E31" s="4"/>
    </row>
    <row r="32" customFormat="false" ht="15" hidden="false" customHeight="false" outlineLevel="0" collapsed="false">
      <c r="A32" s="5" t="s">
        <v>316</v>
      </c>
      <c r="B32" s="17" t="n">
        <f aca="false">B12*B13*B29</f>
        <v>6931.44827586207</v>
      </c>
      <c r="C32" s="7" t="s">
        <v>38</v>
      </c>
      <c r="D32" s="7" t="s">
        <v>317</v>
      </c>
    </row>
    <row r="33" customFormat="false" ht="15" hidden="false" customHeight="false" outlineLevel="0" collapsed="false">
      <c r="A33" s="5" t="s">
        <v>318</v>
      </c>
      <c r="B33" s="16" t="n">
        <f aca="false">75*B29</f>
        <v>32.4911637931034</v>
      </c>
      <c r="C33" s="7" t="s">
        <v>40</v>
      </c>
      <c r="D33" s="7" t="s">
        <v>319</v>
      </c>
    </row>
    <row r="34" customFormat="false" ht="15" hidden="false" customHeight="false" outlineLevel="0" collapsed="false">
      <c r="A34" s="5" t="s">
        <v>320</v>
      </c>
      <c r="B34" s="16" t="n">
        <f aca="false">B14*B29</f>
        <v>15.1625431034483</v>
      </c>
      <c r="C34" s="7" t="s">
        <v>40</v>
      </c>
      <c r="D34" s="7" t="s">
        <v>321</v>
      </c>
    </row>
    <row r="35" customFormat="false" ht="15" hidden="false" customHeight="false" outlineLevel="0" collapsed="false">
      <c r="A35" s="5" t="s">
        <v>322</v>
      </c>
      <c r="B35" s="8" t="n">
        <f aca="false">Forutsetninger!$B$9*B29</f>
        <v>60.6501724137931</v>
      </c>
      <c r="C35" s="7" t="s">
        <v>40</v>
      </c>
      <c r="D35" s="7" t="s">
        <v>323</v>
      </c>
    </row>
    <row r="36" customFormat="false" ht="15" hidden="false" customHeight="false" outlineLevel="0" collapsed="false">
      <c r="A36" s="5" t="s">
        <v>324</v>
      </c>
      <c r="B36" s="16" t="n">
        <f aca="false">B16*B25</f>
        <v>31.6783877586207</v>
      </c>
      <c r="C36" s="7" t="s">
        <v>40</v>
      </c>
      <c r="D36" s="7" t="s">
        <v>325</v>
      </c>
    </row>
    <row r="37" customFormat="false" ht="15" hidden="false" customHeight="false" outlineLevel="0" collapsed="false">
      <c r="A37" s="5" t="s">
        <v>326</v>
      </c>
      <c r="B37" s="33" t="n">
        <f aca="false">B29/B6</f>
        <v>0.722025862068966</v>
      </c>
      <c r="C37" s="7" t="s">
        <v>29</v>
      </c>
      <c r="D37" s="7"/>
    </row>
    <row r="39" customFormat="false" ht="15" hidden="false" customHeight="false" outlineLevel="0" collapsed="false">
      <c r="A39" s="26" t="s">
        <v>327</v>
      </c>
    </row>
    <row r="40" customFormat="false" ht="15" hidden="false" customHeight="false" outlineLevel="0" collapsed="false">
      <c r="A40" s="3" t="s">
        <v>328</v>
      </c>
      <c r="B40" s="3" t="s">
        <v>329</v>
      </c>
      <c r="C40" s="3" t="s">
        <v>330</v>
      </c>
      <c r="D40" s="3" t="s">
        <v>331</v>
      </c>
      <c r="E40" s="3" t="s">
        <v>332</v>
      </c>
    </row>
    <row r="41" customFormat="false" ht="15" hidden="false" customHeight="false" outlineLevel="0" collapsed="false">
      <c r="A41" s="24" t="n">
        <v>10</v>
      </c>
      <c r="B41" s="25" t="n">
        <f aca="false">A41*Forutsetninger!$B$13*Forutsetninger!$B$14*Forutsetninger!$B$15/1000000</f>
        <v>3.066</v>
      </c>
      <c r="C41" s="28" t="n">
        <f aca="false">Forutsetninger!$B$8-Forutsetninger!$B$9-B41</f>
        <v>11.934</v>
      </c>
      <c r="D41" s="25" t="n">
        <f aca="false">B41*$B$7*100</f>
        <v>1.8396</v>
      </c>
      <c r="E41" s="25" t="n">
        <f aca="false">IF(C41&lt;0,MAX($B$6,$B$23)-$B$6,0)*100</f>
        <v>0</v>
      </c>
    </row>
    <row r="42" customFormat="false" ht="15" hidden="false" customHeight="false" outlineLevel="0" collapsed="false">
      <c r="A42" s="24" t="n">
        <v>25</v>
      </c>
      <c r="B42" s="25" t="n">
        <f aca="false">A42*Forutsetninger!$B$13*Forutsetninger!$B$14*Forutsetninger!$B$15/1000000</f>
        <v>7.665</v>
      </c>
      <c r="C42" s="28" t="n">
        <f aca="false">Forutsetninger!$B$8-Forutsetninger!$B$9-B42</f>
        <v>7.335</v>
      </c>
      <c r="D42" s="25" t="n">
        <f aca="false">B42*$B$7*100</f>
        <v>4.599</v>
      </c>
      <c r="E42" s="25" t="n">
        <f aca="false">IF(C42&lt;0,MAX($B$6,$B$23)-$B$6,0)*100</f>
        <v>0</v>
      </c>
    </row>
    <row r="43" customFormat="false" ht="15" hidden="false" customHeight="false" outlineLevel="0" collapsed="false">
      <c r="A43" s="24" t="n">
        <v>50</v>
      </c>
      <c r="B43" s="25" t="n">
        <f aca="false">A43*Forutsetninger!$B$13*Forutsetninger!$B$14*Forutsetninger!$B$15/1000000</f>
        <v>15.33</v>
      </c>
      <c r="C43" s="28" t="n">
        <f aca="false">Forutsetninger!$B$8-Forutsetninger!$B$9-B43</f>
        <v>-0.33</v>
      </c>
      <c r="D43" s="25" t="n">
        <f aca="false">B43*$B$7*100</f>
        <v>9.198</v>
      </c>
      <c r="E43" s="25" t="n">
        <f aca="false">IF(C43&lt;0,MAX($B$6,$B$23)-$B$6,0)*100</f>
        <v>43.3215517241379</v>
      </c>
    </row>
    <row r="44" customFormat="false" ht="15" hidden="false" customHeight="false" outlineLevel="0" collapsed="false">
      <c r="A44" s="24" t="n">
        <v>75</v>
      </c>
      <c r="B44" s="25" t="n">
        <f aca="false">A44*Forutsetninger!$B$13*Forutsetninger!$B$14*Forutsetninger!$B$15/1000000</f>
        <v>22.995</v>
      </c>
      <c r="C44" s="28" t="n">
        <f aca="false">Forutsetninger!$B$8-Forutsetninger!$B$9-B44</f>
        <v>-7.995</v>
      </c>
      <c r="D44" s="25" t="n">
        <f aca="false">B44*$B$7*100</f>
        <v>13.797</v>
      </c>
      <c r="E44" s="25" t="n">
        <f aca="false">IF(C44&lt;0,MAX($B$6,$B$23)-$B$6,0)*100</f>
        <v>43.3215517241379</v>
      </c>
    </row>
    <row r="45" customFormat="false" ht="15" hidden="false" customHeight="false" outlineLevel="0" collapsed="false">
      <c r="A45" s="24" t="n">
        <v>100</v>
      </c>
      <c r="B45" s="25" t="n">
        <f aca="false">A45*Forutsetninger!$B$13*Forutsetninger!$B$14*Forutsetninger!$B$15/1000000</f>
        <v>30.66</v>
      </c>
      <c r="C45" s="28" t="n">
        <f aca="false">Forutsetninger!$B$8-Forutsetninger!$B$9-B45</f>
        <v>-15.66</v>
      </c>
      <c r="D45" s="25" t="n">
        <f aca="false">B45*$B$7*100</f>
        <v>18.396</v>
      </c>
      <c r="E45" s="25" t="n">
        <f aca="false">IF(C45&lt;0,MAX($B$6,$B$23)-$B$6,0)*100</f>
        <v>43.3215517241379</v>
      </c>
    </row>
    <row r="46" customFormat="false" ht="15" hidden="false" customHeight="false" outlineLevel="0" collapsed="false">
      <c r="A46" s="24" t="n">
        <v>150</v>
      </c>
      <c r="B46" s="25" t="n">
        <f aca="false">A46*Forutsetninger!$B$13*Forutsetninger!$B$14*Forutsetninger!$B$15/1000000</f>
        <v>45.99</v>
      </c>
      <c r="C46" s="28" t="n">
        <f aca="false">Forutsetninger!$B$8-Forutsetninger!$B$9-B46</f>
        <v>-30.99</v>
      </c>
      <c r="D46" s="25" t="n">
        <f aca="false">B46*$B$7*100</f>
        <v>27.594</v>
      </c>
      <c r="E46" s="25" t="n">
        <f aca="false">IF(C46&lt;0,MAX($B$6,$B$23)-$B$6,0)*100</f>
        <v>43.3215517241379</v>
      </c>
    </row>
    <row r="48" customFormat="false" ht="15" hidden="false" customHeight="false" outlineLevel="0" collapsed="false">
      <c r="A48" s="34" t="s">
        <v>333</v>
      </c>
    </row>
  </sheetData>
  <mergeCells count="7">
    <mergeCell ref="A1:D1"/>
    <mergeCell ref="A2:D2"/>
    <mergeCell ref="A5:E5"/>
    <mergeCell ref="A15:E15"/>
    <mergeCell ref="A19:E19"/>
    <mergeCell ref="A27:E27"/>
    <mergeCell ref="A31:E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60"/>
    <col collapsed="false" customWidth="true" hidden="false" outlineLevel="0" max="3" min="3" style="0" width="70"/>
    <col collapsed="false" customWidth="true" hidden="false" outlineLevel="0" max="4" min="4" style="0" width="40"/>
  </cols>
  <sheetData>
    <row r="1" customFormat="false" ht="17.35" hidden="false" customHeight="false" outlineLevel="0" collapsed="false">
      <c r="A1" s="1" t="s">
        <v>334</v>
      </c>
      <c r="B1" s="1"/>
      <c r="C1" s="1"/>
      <c r="D1" s="1"/>
    </row>
    <row r="4" customFormat="false" ht="15" hidden="false" customHeight="false" outlineLevel="0" collapsed="false">
      <c r="A4" s="3" t="s">
        <v>335</v>
      </c>
      <c r="B4" s="3" t="s">
        <v>336</v>
      </c>
      <c r="C4" s="3" t="s">
        <v>337</v>
      </c>
      <c r="D4" s="3" t="s">
        <v>156</v>
      </c>
    </row>
    <row r="5" customFormat="false" ht="15" hidden="false" customHeight="false" outlineLevel="0" collapsed="false">
      <c r="A5" s="5" t="s">
        <v>338</v>
      </c>
      <c r="B5" s="5" t="s">
        <v>339</v>
      </c>
      <c r="C5" s="7" t="s">
        <v>340</v>
      </c>
      <c r="D5" s="7" t="s">
        <v>341</v>
      </c>
    </row>
    <row r="6" customFormat="false" ht="15" hidden="false" customHeight="false" outlineLevel="0" collapsed="false">
      <c r="A6" s="5" t="s">
        <v>342</v>
      </c>
      <c r="B6" s="5" t="s">
        <v>343</v>
      </c>
      <c r="C6" s="7" t="s">
        <v>344</v>
      </c>
      <c r="D6" s="7" t="s">
        <v>341</v>
      </c>
    </row>
    <row r="7" customFormat="false" ht="15" hidden="false" customHeight="false" outlineLevel="0" collapsed="false">
      <c r="A7" s="5" t="s">
        <v>345</v>
      </c>
      <c r="B7" s="5" t="s">
        <v>346</v>
      </c>
      <c r="C7" s="7" t="s">
        <v>347</v>
      </c>
      <c r="D7" s="7" t="s">
        <v>348</v>
      </c>
    </row>
    <row r="8" customFormat="false" ht="23.85" hidden="false" customHeight="false" outlineLevel="0" collapsed="false">
      <c r="A8" s="5" t="s">
        <v>349</v>
      </c>
      <c r="B8" s="5" t="s">
        <v>350</v>
      </c>
      <c r="C8" s="7" t="s">
        <v>351</v>
      </c>
      <c r="D8" s="7" t="s">
        <v>341</v>
      </c>
    </row>
    <row r="9" customFormat="false" ht="23.85" hidden="false" customHeight="false" outlineLevel="0" collapsed="false">
      <c r="A9" s="5" t="s">
        <v>352</v>
      </c>
      <c r="B9" s="5" t="s">
        <v>353</v>
      </c>
      <c r="C9" s="7" t="s">
        <v>354</v>
      </c>
      <c r="D9" s="7" t="s">
        <v>341</v>
      </c>
    </row>
    <row r="10" customFormat="false" ht="15" hidden="false" customHeight="false" outlineLevel="0" collapsed="false">
      <c r="A10" s="5" t="s">
        <v>355</v>
      </c>
      <c r="B10" s="5" t="s">
        <v>356</v>
      </c>
      <c r="C10" s="7" t="s">
        <v>357</v>
      </c>
      <c r="D10" s="7" t="s">
        <v>358</v>
      </c>
    </row>
    <row r="11" customFormat="false" ht="15" hidden="false" customHeight="false" outlineLevel="0" collapsed="false">
      <c r="A11" s="5" t="s">
        <v>359</v>
      </c>
      <c r="B11" s="5" t="s">
        <v>360</v>
      </c>
      <c r="C11" s="7"/>
      <c r="D11" s="7" t="s">
        <v>361</v>
      </c>
    </row>
    <row r="12" customFormat="false" ht="35.05" hidden="false" customHeight="false" outlineLevel="0" collapsed="false">
      <c r="A12" s="5" t="s">
        <v>362</v>
      </c>
      <c r="B12" s="5" t="s">
        <v>363</v>
      </c>
      <c r="C12" s="7"/>
      <c r="D12" s="7" t="s">
        <v>364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2026-09-01T06:46:14Z</dcterms:created>
  <dc:creator>openpyxl</dc:creator>
  <dc:description/>
  <dc:language>en-US</dc:language>
  <cp:lastModifiedBy/>
  <dcterms:modified xsi:type="dcterms:W3CDTF">2026-09-01T06:46:14Z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